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03B2111A-6759-487E-8B2F-AEAFB3B79EE5}" xr6:coauthVersionLast="47" xr6:coauthVersionMax="47" xr10:uidLastSave="{0818D52D-FB2A-44EC-BE70-6A8DACE5F821}"/>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<sst xmlns="http://schemas.openxmlformats.org/spreadsheetml/2006/main" count="32859" uniqueCount="1676">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</sst>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21.16</c:v>
                </c:pt>
                <c:pt idx="1">
                  <c:v>21.76</c:v>
                </c:pt>
                <c:pt idx="2">
                  <c:v>22.689999999999998</c:v>
                </c:pt>
                <c:pt idx="3">
                  <c:v>24.196666666666669</c:v>
                </c:pt>
                <c:pt idx="4">
                  <c:v>24.526666666666667</c:v>
                </c:pt>
                <c:pt idx="5">
                  <c:v>25.203333333333333</c:v>
                </c:pt>
                <c:pt idx="6">
                  <c:v>25.076666666666668</c:v>
                </c:pt>
                <c:pt idx="7">
                  <c:v>25.713333333333335</c:v>
                </c:pt>
                <c:pt idx="8">
                  <c:v>25.959999999999997</c:v>
                </c:pt>
                <c:pt idx="9">
                  <c:v>27.189999999999998</c:v>
                </c:pt>
                <c:pt idx="10">
                  <c:v>26.436666666666667</c:v>
                </c:pt>
                <c:pt idx="11">
                  <c:v>27.466666666666669</c:v>
                </c:pt>
                <c:pt idx="12">
                  <c:v>27.570000000000004</c:v>
                </c:pt>
                <c:pt idx="13">
                  <c:v>28.676666666666666</c:v>
                </c:pt>
                <c:pt idx="14">
                  <c:v>29.276666666666667</c:v>
                </c:pt>
                <c:pt idx="15">
                  <c:v>30.236666666666665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421.4</c:v>
                </c:pt>
                <c:pt idx="1">
                  <c:v>445.3</c:v>
                </c:pt>
                <c:pt idx="2">
                  <c:v>447.6</c:v>
                </c:pt>
                <c:pt idx="3">
                  <c:v>457.7</c:v>
                </c:pt>
                <c:pt idx="4">
                  <c:v>467</c:v>
                </c:pt>
                <c:pt idx="5">
                  <c:v>469.9</c:v>
                </c:pt>
                <c:pt idx="6">
                  <c:v>463.2</c:v>
                </c:pt>
                <c:pt idx="7">
                  <c:v>471.7</c:v>
                </c:pt>
                <c:pt idx="8">
                  <c:v>487.5</c:v>
                </c:pt>
                <c:pt idx="9">
                  <c:v>493.5</c:v>
                </c:pt>
                <c:pt idx="10">
                  <c:v>510.9</c:v>
                </c:pt>
                <c:pt idx="11">
                  <c:v>527.29999999999995</c:v>
                </c:pt>
                <c:pt idx="12">
                  <c:v>532.79999999999995</c:v>
                </c:pt>
                <c:pt idx="13">
                  <c:v>568.1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73.8</c:v>
                </c:pt>
                <c:pt idx="1">
                  <c:v>72.8</c:v>
                </c:pt>
                <c:pt idx="2">
                  <c:v>74.5</c:v>
                </c:pt>
                <c:pt idx="3">
                  <c:v>74</c:v>
                </c:pt>
                <c:pt idx="4">
                  <c:v>70.599999999999994</c:v>
                </c:pt>
                <c:pt idx="5">
                  <c:v>74</c:v>
                </c:pt>
                <c:pt idx="6">
                  <c:v>71.8</c:v>
                </c:pt>
                <c:pt idx="7">
                  <c:v>73.900000000000006</c:v>
                </c:pt>
                <c:pt idx="8">
                  <c:v>74.8</c:v>
                </c:pt>
                <c:pt idx="9">
                  <c:v>73.7</c:v>
                </c:pt>
                <c:pt idx="10">
                  <c:v>74.3</c:v>
                </c:pt>
                <c:pt idx="11">
                  <c:v>75.2</c:v>
                </c:pt>
                <c:pt idx="12">
                  <c:v>76.900000000000006</c:v>
                </c:pt>
                <c:pt idx="13">
                  <c:v>75.5</c:v>
                </c:pt>
                <c:pt idx="14">
                  <c:v>75.400000000000006</c:v>
                </c:pt>
                <c:pt idx="15">
                  <c:v>77.5</c:v>
                </c:pt>
                <c:pt idx="16">
                  <c:v>76.400000000000006</c:v>
                </c:pt>
                <c:pt idx="17">
                  <c:v>77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12320</c:v>
                </c:pt>
                <c:pt idx="1">
                  <c:v>12801.333333333334</c:v>
                </c:pt>
                <c:pt idx="2">
                  <c:v>12887</c:v>
                </c:pt>
                <c:pt idx="3">
                  <c:v>13608</c:v>
                </c:pt>
                <c:pt idx="4">
                  <c:v>14227</c:v>
                </c:pt>
                <c:pt idx="5">
                  <c:v>14571.666666666666</c:v>
                </c:pt>
                <c:pt idx="6">
                  <c:v>15067.333333333334</c:v>
                </c:pt>
                <c:pt idx="7">
                  <c:v>15467.666666666666</c:v>
                </c:pt>
                <c:pt idx="8">
                  <c:v>16067.666666666666</c:v>
                </c:pt>
                <c:pt idx="9">
                  <c:v>16341</c:v>
                </c:pt>
                <c:pt idx="10">
                  <c:v>16662.666666666668</c:v>
                </c:pt>
                <c:pt idx="11">
                  <c:v>17525.333333333332</c:v>
                </c:pt>
                <c:pt idx="12">
                  <c:v>17616.333333333332</c:v>
                </c:pt>
                <c:pt idx="13">
                  <c:v>18011.333333333332</c:v>
                </c:pt>
                <c:pt idx="14">
                  <c:v>18753</c:v>
                </c:pt>
                <c:pt idx="15">
                  <c:v>19249.333333333332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26.7</c:v>
                </c:pt>
                <c:pt idx="1">
                  <c:v>27.7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22.7</c:v>
                </c:pt>
                <c:pt idx="1">
                  <c:v>23.7</c:v>
                </c:pt>
                <c:pt idx="2">
                  <c:v>22.5</c:v>
                </c:pt>
                <c:pt idx="3">
                  <c:v>22.9</c:v>
                </c:pt>
                <c:pt idx="4">
                  <c:v>25</c:v>
                </c:pt>
                <c:pt idx="5">
                  <c:v>21.1</c:v>
                </c:pt>
                <c:pt idx="6">
                  <c:v>22.9</c:v>
                </c:pt>
                <c:pt idx="7">
                  <c:v>19.899999999999999</c:v>
                </c:pt>
                <c:pt idx="8">
                  <c:v>20.8</c:v>
                </c:pt>
                <c:pt idx="9">
                  <c:v>21</c:v>
                </c:pt>
                <c:pt idx="10">
                  <c:v>21.9</c:v>
                </c:pt>
                <c:pt idx="11">
                  <c:v>21.5</c:v>
                </c:pt>
                <c:pt idx="12">
                  <c:v>19.7</c:v>
                </c:pt>
                <c:pt idx="13">
                  <c:v>21.1</c:v>
                </c:pt>
                <c:pt idx="14">
                  <c:v>21.5</c:v>
                </c:pt>
                <c:pt idx="15">
                  <c:v>19.100000000000001</c:v>
                </c:pt>
                <c:pt idx="16">
                  <c:v>19</c:v>
                </c:pt>
                <c:pt idx="17">
                  <c:v>19.600000000000001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29.699999999999996</c:v>
                </c:pt>
                <c:pt idx="1">
                  <c:v>33.800000000000004</c:v>
                </c:pt>
                <c:pt idx="2">
                  <c:v>33.300000000000004</c:v>
                </c:pt>
                <c:pt idx="3">
                  <c:v>23</c:v>
                </c:pt>
                <c:pt idx="4">
                  <c:v>30.200000000000003</c:v>
                </c:pt>
                <c:pt idx="5">
                  <c:v>21.500000000000007</c:v>
                </c:pt>
                <c:pt idx="6">
                  <c:v>20.5</c:v>
                </c:pt>
                <c:pt idx="7">
                  <c:v>22.799999999999997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14.124132698044523</c:v>
                </c:pt>
                <c:pt idx="1">
                  <c:v>10.168415633041908</c:v>
                </c:pt>
                <c:pt idx="2">
                  <c:v>14.293839455888039</c:v>
                </c:pt>
                <c:pt idx="3">
                  <c:v>14.298411072756142</c:v>
                </c:pt>
                <c:pt idx="4">
                  <c:v>12.351584093529489</c:v>
                </c:pt>
                <c:pt idx="5">
                  <c:v>13.219079578139981</c:v>
                </c:pt>
                <c:pt idx="6">
                  <c:v>10.681067901319125</c:v>
                </c:pt>
                <c:pt idx="7">
                  <c:v>9.8242329532267796</c:v>
                </c:pt>
                <c:pt idx="8">
                  <c:v>9.891653144532814</c:v>
                </c:pt>
                <c:pt idx="9">
                  <c:v>9.4265225652236087</c:v>
                </c:pt>
                <c:pt idx="10">
                  <c:v>6.8395847824923752</c:v>
                </c:pt>
                <c:pt idx="11">
                  <c:v>8.9073263406824807</c:v>
                </c:pt>
                <c:pt idx="12">
                  <c:v>10.774926052056932</c:v>
                </c:pt>
                <c:pt idx="13">
                  <c:v>2.7704984047331411</c:v>
                </c:pt>
                <c:pt idx="14">
                  <c:v>11.482098358962441</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48.8</c:v>
                </c:pt>
                <c:pt idx="1">
                  <c:v>50.6</c:v>
                </c:pt>
                <c:pt idx="2">
                  <c:v>49.400000000000006</c:v>
                </c:pt>
                <c:pt idx="3">
                  <c:v>50.100000000000009</c:v>
                </c:pt>
                <c:pt idx="4">
                  <c:v>50.8</c:v>
                </c:pt>
                <c:pt idx="5">
                  <c:v>52.3</c:v>
                </c:pt>
                <c:pt idx="6">
                  <c:v>49.400000000000006</c:v>
                </c:pt>
                <c:pt idx="7">
                  <c:v>46.7</c:v>
                </c:pt>
                <c:pt idx="8">
                  <c:v>52.9</c:v>
                </c:pt>
                <c:pt idx="9">
                  <c:v>51.900000000000006</c:v>
                </c:pt>
                <c:pt idx="10">
                  <c:v>51.2</c:v>
                </c:pt>
                <c:pt idx="11">
                  <c:v>51.599999999999994</c:v>
                </c:pt>
                <c:pt idx="12">
                  <c:v>54.3</c:v>
                </c:pt>
                <c:pt idx="13">
                  <c:v>54.2</c:v>
                </c:pt>
                <c:pt idx="14">
                  <c:v>52.7</c:v>
                </c:pt>
                <c:pt idx="15">
                  <c:v>51.1</c:v>
                </c:pt>
                <c:pt idx="16">
                  <c:v>54.2</c:v>
                </c:pt>
                <c:pt idx="17">
                  <c:v>53.6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Norfolk has consistently sat somewhere between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Norfolk, the gap between it and the rural and England situations does not narrow.</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Norfolk increases from 2017 to 2018, marginally increasing the gap to 'Rural as a Region'.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Norfolk's economic inactivity rate sits consistently around the England and rural situations, following the same downward trend.</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160020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9601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Norfolk appears to follow a similar downward trend as the rural and England situations, however starting higher than both the rural and England situations in 2014, but finishing in 2021 lower.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Norfolk moves from being generally greater than 'Rural as a Region' in the period 2006-2011 to being generally in line with rural from 2012 to 2020.</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99060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Norfolk in general has a lower proportion of employed people in skilled employment than seen for both England or 'Rural as a Region', however it has a similar upward trend from 2004 to 2021.</a:t>
          </a:r>
          <a:endParaRPr lang="en-GB" sz="1100">
            <a:latin typeface="Avenir Next LT Pro" panose="020B0504020202020204" pitchFamily="34" charset="0"/>
          </a:endParaRPr>
        </a:p>
      </xdr:txBody>
    </xdr:sp>
    <xdr:clientData/>
  </xdr:twoCellAnchor>
  <xdr:twoCellAnchor>
    <xdr:from>
      <xdr:col>0</xdr:col>
      <xdr:colOff>548640</xdr:colOff>
      <xdr:row>12</xdr:row>
      <xdr:rowOff>525780</xdr:rowOff>
    </xdr:from>
    <xdr:to>
      <xdr:col>1</xdr:col>
      <xdr:colOff>2529840</xdr:colOff>
      <xdr:row>14</xdr:row>
      <xdr:rowOff>30480</xdr:rowOff>
    </xdr:to>
    <xdr:sp macro="" textlink="">
      <xdr:nvSpPr>
        <xdr:cNvPr id="20" name="TextBox 19">
          <a:extLst>
            <a:ext uri="{FF2B5EF4-FFF2-40B4-BE49-F238E27FC236}">
              <a16:creationId xmlns:a16="http://schemas.microsoft.com/office/drawing/2014/main" id="{95471D1F-C8CF-4481-A0B3-AB7D1766FEAC}"/>
            </a:ext>
          </a:extLst>
        </xdr:cNvPr>
        <xdr:cNvSpPr txBox="1"/>
      </xdr:nvSpPr>
      <xdr:spPr>
        <a:xfrm>
          <a:off x="548640" y="35128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Norfolk from 2007 to 2019 has roughly been in line with the rural situation.</a:t>
          </a:r>
          <a:endParaRPr lang="en-GB" sz="1100">
            <a:latin typeface="Avenir Next LT Pro" panose="020B0504020202020204" pitchFamily="34" charset="0"/>
          </a:endParaRPr>
        </a:p>
      </xdr:txBody>
    </xdr:sp>
    <xdr:clientData/>
  </xdr:twoCellAnchor>
  <xdr:twoCellAnchor>
    <xdr:from>
      <xdr:col>0</xdr:col>
      <xdr:colOff>594360</xdr:colOff>
      <xdr:row>20</xdr:row>
      <xdr:rowOff>640080</xdr:rowOff>
    </xdr:from>
    <xdr:to>
      <xdr:col>1</xdr:col>
      <xdr:colOff>2575560</xdr:colOff>
      <xdr:row>22</xdr:row>
      <xdr:rowOff>167640</xdr:rowOff>
    </xdr:to>
    <xdr:sp macro="" textlink="">
      <xdr:nvSpPr>
        <xdr:cNvPr id="21" name="TextBox 20">
          <a:extLst>
            <a:ext uri="{FF2B5EF4-FFF2-40B4-BE49-F238E27FC236}">
              <a16:creationId xmlns:a16="http://schemas.microsoft.com/office/drawing/2014/main" id="{9B166440-AF68-485D-94EE-004D1FACFBE5}"/>
            </a:ext>
          </a:extLst>
        </xdr:cNvPr>
        <xdr:cNvSpPr txBox="1"/>
      </xdr:nvSpPr>
      <xdr:spPr>
        <a:xfrm>
          <a:off x="594360" y="75666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Norfolk has very closely followed that of 'Rural as a Region' from 2008 to 2021.</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147</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Norfolk</v>
      </c>
      <c r="G12" s="88" t="str">
        <f>IFERROR(VLOOKUP(F12,GVA!B244:B552,1,FALSE),VLOOKUP(F12,GVA!B6:C230,2,FALSE))</f>
        <v>(average of Norwich and East Norfolk, North and West Norfolk, and Breckland and South Norfolk ITL regions)</v>
      </c>
      <c r="H12" s="89" t="str">
        <f>IF(F12=G12,"",G12)</f>
        <v>(average of Norwich and East Norfolk, North and West Norfolk, and Breckland and South Norfolk ITL regions)</v>
      </c>
      <c r="I12" s="76">
        <f>IFERROR(VLOOKUP($F12,GVA!$B$7:$S$230,GVA!D$3,FALSE),VLOOKUP($F12,GVA!$B$244:$T$554,GVA!E$3,FALSE))</f>
        <v>21.16</v>
      </c>
      <c r="J12" s="77">
        <f>IFERROR(VLOOKUP($F12,GVA!$B$7:$S$230,GVA!E$3,FALSE),VLOOKUP($F12,GVA!$B$244:$T$554,GVA!F$3,FALSE))</f>
        <v>21.76</v>
      </c>
      <c r="K12" s="77">
        <f>IFERROR(VLOOKUP($F12,GVA!$B$7:$S$230,GVA!F$3,FALSE),VLOOKUP($F12,GVA!$B$244:$T$554,GVA!G$3,FALSE))</f>
        <v>22.689999999999998</v>
      </c>
      <c r="L12" s="77">
        <f>IFERROR(VLOOKUP($F12,GVA!$B$7:$S$230,GVA!G$3,FALSE),VLOOKUP($F12,GVA!$B$244:$T$554,GVA!H$3,FALSE))</f>
        <v>24.196666666666669</v>
      </c>
      <c r="M12" s="77">
        <f>IFERROR(VLOOKUP($F12,GVA!$B$7:$S$230,GVA!H$3,FALSE),VLOOKUP($F12,GVA!$B$244:$T$554,GVA!I$3,FALSE))</f>
        <v>24.526666666666667</v>
      </c>
      <c r="N12" s="77">
        <f>IFERROR(VLOOKUP($F12,GVA!$B$7:$S$230,GVA!I$3,FALSE),VLOOKUP($F12,GVA!$B$244:$T$554,GVA!J$3,FALSE))</f>
        <v>25.203333333333333</v>
      </c>
      <c r="O12" s="77">
        <f>IFERROR(VLOOKUP($F12,GVA!$B$7:$S$230,GVA!J$3,FALSE),VLOOKUP($F12,GVA!$B$244:$T$554,GVA!K$3,FALSE))</f>
        <v>25.076666666666668</v>
      </c>
      <c r="P12" s="77">
        <f>IFERROR(VLOOKUP($F12,GVA!$B$7:$S$230,GVA!K$3,FALSE),VLOOKUP($F12,GVA!$B$244:$T$554,GVA!L$3,FALSE))</f>
        <v>25.713333333333335</v>
      </c>
      <c r="Q12" s="77">
        <f>IFERROR(VLOOKUP($F12,GVA!$B$7:$S$230,GVA!L$3,FALSE),VLOOKUP($F12,GVA!$B$244:$T$554,GVA!M$3,FALSE))</f>
        <v>25.959999999999997</v>
      </c>
      <c r="R12" s="77">
        <f>IFERROR(VLOOKUP($F12,GVA!$B$7:$S$230,GVA!M$3,FALSE),VLOOKUP($F12,GVA!$B$244:$T$554,GVA!N$3,FALSE))</f>
        <v>27.189999999999998</v>
      </c>
      <c r="S12" s="77">
        <f>IFERROR(VLOOKUP($F12,GVA!$B$7:$S$230,GVA!N$3,FALSE),VLOOKUP($F12,GVA!$B$244:$T$554,GVA!O$3,FALSE))</f>
        <v>26.436666666666667</v>
      </c>
      <c r="T12" s="77">
        <f>IFERROR(VLOOKUP($F12,GVA!$B$7:$S$230,GVA!O$3,FALSE),VLOOKUP($F12,GVA!$B$244:$T$554,GVA!P$3,FALSE))</f>
        <v>27.466666666666669</v>
      </c>
      <c r="U12" s="77">
        <f>IFERROR(VLOOKUP($F12,GVA!$B$7:$S$230,GVA!P$3,FALSE),VLOOKUP($F12,GVA!$B$244:$T$554,GVA!Q$3,FALSE))</f>
        <v>27.570000000000004</v>
      </c>
      <c r="V12" s="77">
        <f>IFERROR(VLOOKUP($F12,GVA!$B$7:$S$230,GVA!Q$3,FALSE),VLOOKUP($F12,GVA!$B$244:$T$554,GVA!R$3,FALSE))</f>
        <v>28.676666666666666</v>
      </c>
      <c r="W12" s="77">
        <f>IFERROR(VLOOKUP($F12,GVA!$B$7:$S$230,GVA!R$3,FALSE),VLOOKUP($F12,GVA!$B$244:$T$554,GVA!S$3,FALSE))</f>
        <v>29.276666666666667</v>
      </c>
      <c r="X12" s="77">
        <f>IFERROR(VLOOKUP($F12,GVA!$B$7:$S$230,GVA!S$3,FALSE),VLOOKUP($F12,GVA!$B$244:$T$554,GVA!T$3,FALSE))</f>
        <v>30.236666666666665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Norfolk to Rural as a Region</v>
      </c>
      <c r="G15" s="122"/>
      <c r="H15" s="123"/>
      <c r="I15" s="74">
        <f>100*((I12-I13)/I13)</f>
        <v>-10.110904888816922</v>
      </c>
      <c r="J15" s="74">
        <f t="shared" ref="J15:X15" si="0">100*((J12-J13)/J13)</f>
        <v>-7.3047041402113679</v>
      </c>
      <c r="K15" s="74">
        <f t="shared" si="0"/>
        <v>-6.6406077794595859</v>
      </c>
      <c r="L15" s="74">
        <f t="shared" si="0"/>
        <v>-2.5843062824715912</v>
      </c>
      <c r="M15" s="74">
        <f t="shared" si="0"/>
        <v>-2.9209840592207068</v>
      </c>
      <c r="N15" s="74">
        <f t="shared" si="0"/>
        <v>-1.0576199578447589</v>
      </c>
      <c r="O15" s="74">
        <f t="shared" si="0"/>
        <v>-2.7663787810946086</v>
      </c>
      <c r="P15" s="74">
        <f t="shared" si="0"/>
        <v>-1.7624291048679224</v>
      </c>
      <c r="Q15" s="74">
        <f t="shared" si="0"/>
        <v>-2.8105361679369119</v>
      </c>
      <c r="R15" s="74">
        <f t="shared" si="0"/>
        <v>5.9142823346908006E-2</v>
      </c>
      <c r="S15" s="74">
        <f t="shared" si="0"/>
        <v>-4.3004218972880794</v>
      </c>
      <c r="T15" s="74">
        <f t="shared" si="0"/>
        <v>-2.4208692121601518</v>
      </c>
      <c r="U15" s="74">
        <f t="shared" si="0"/>
        <v>-4.3937398598857769</v>
      </c>
      <c r="V15" s="74">
        <f t="shared" si="0"/>
        <v>-3.1875087916725198</v>
      </c>
      <c r="W15" s="74">
        <f t="shared" si="0"/>
        <v>-3.1677094448534384</v>
      </c>
      <c r="X15" s="74">
        <f t="shared" si="0"/>
        <v>-1.0298833734038599</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Norfolk</v>
      </c>
      <c r="G20" s="88"/>
      <c r="H20" s="89"/>
      <c r="I20" s="80">
        <f>IF(VLOOKUP($F20,PAY!$A$11:$AE$349,4,FALSE)="-",#N/A,VLOOKUP($F20,PAY!$A$11:$AE$349,4,FALSE))</f>
        <v>421.4</v>
      </c>
      <c r="J20" s="80">
        <f>IF(VLOOKUP($F20,PAY!$A$11:$AE$349,6,FALSE)="-",#N/A,VLOOKUP($F20,PAY!$A$11:$AE$349,6,FALSE))</f>
        <v>445.3</v>
      </c>
      <c r="K20" s="80">
        <f>IF(VLOOKUP($F20,PAY!$A$11:$AE$349,8,FALSE)="-",#N/A,VLOOKUP($F20,PAY!$A$11:$AE$349,8,FALSE))</f>
        <v>447.6</v>
      </c>
      <c r="L20" s="80">
        <f>IF(VLOOKUP($F20,PAY!$A$11:$AE$349,10,FALSE)="-",#N/A,VLOOKUP($F20,PAY!$A$11:$AE$349,10,FALSE))</f>
        <v>457.7</v>
      </c>
      <c r="M20" s="80">
        <f>IF(VLOOKUP($F20,PAY!$A$11:$AE$349,12,FALSE)="-",#N/A,VLOOKUP($F20,PAY!$A$11:$AE$349,12,FALSE))</f>
        <v>467</v>
      </c>
      <c r="N20" s="80">
        <f>IF(VLOOKUP($F20,PAY!$A$11:$AE$349,14,FALSE)="-",#N/A,VLOOKUP($F20,PAY!$A$11:$AE$349,14,FALSE))</f>
        <v>469.9</v>
      </c>
      <c r="O20" s="80">
        <f>IF(VLOOKUP($F20,PAY!$A$11:$AE$349,16,FALSE)="-",#N/A,VLOOKUP($F20,PAY!$A$11:$AE$349,16,FALSE))</f>
        <v>463.2</v>
      </c>
      <c r="P20" s="80">
        <f>IF(VLOOKUP($F20,PAY!$A$11:$AE$349,18,FALSE)="-",#N/A,VLOOKUP($F20,PAY!$A$11:$AE$349,18,FALSE))</f>
        <v>471.7</v>
      </c>
      <c r="Q20" s="80">
        <f>IF(VLOOKUP($F20,PAY!$A$11:$AE$349,20,FALSE)="-",#N/A,VLOOKUP($F20,PAY!$A$11:$AE$349,20,FALSE))</f>
        <v>487.5</v>
      </c>
      <c r="R20" s="80">
        <f>IF(VLOOKUP($F20,PAY!$A$11:$AE$349,22,FALSE)="-",#N/A,VLOOKUP($F20,PAY!$A$11:$AE$349,22,FALSE))</f>
        <v>493.5</v>
      </c>
      <c r="S20" s="80">
        <f>IF(VLOOKUP($F20,PAY!$A$11:$AE$349,24,FALSE)="-",#N/A,VLOOKUP($F20,PAY!$A$11:$AE$349,24,FALSE))</f>
        <v>510.9</v>
      </c>
      <c r="T20" s="80">
        <f>IF(VLOOKUP($F20,PAY!$A$11:$AE$349,26,FALSE)="-",#N/A,VLOOKUP($F20,PAY!$A$11:$AE$349,26,FALSE))</f>
        <v>527.29999999999995</v>
      </c>
      <c r="U20" s="80">
        <f>IF(VLOOKUP($F20,PAY!$A$11:$AE$349,28,FALSE)="-",#N/A,VLOOKUP($F20,PAY!$A$11:$AE$349,28,FALSE))</f>
        <v>532.79999999999995</v>
      </c>
      <c r="V20" s="80">
        <f>IF(VLOOKUP($F20,PAY!$A$11:$AE$349,30,FALSE)="-",#N/A,VLOOKUP($F20,PAY!$A$11:$AE$349,30,FALSE))</f>
        <v>568.1</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Norfolk to Rural as a Region</v>
      </c>
      <c r="G23" s="122"/>
      <c r="H23" s="123"/>
      <c r="I23" s="74">
        <f>100*((I20-I21)/I21)</f>
        <v>-2.6772767669208131</v>
      </c>
      <c r="J23" s="74">
        <f t="shared" ref="J23:V23" si="2">100*((J20-J21)/J21)</f>
        <v>1.916804943640213</v>
      </c>
      <c r="K23" s="74">
        <f t="shared" si="2"/>
        <v>-0.1144038710880434</v>
      </c>
      <c r="L23" s="74">
        <f t="shared" si="2"/>
        <v>1.5636937665723056</v>
      </c>
      <c r="M23" s="74">
        <f t="shared" si="2"/>
        <v>2.5825682206193807</v>
      </c>
      <c r="N23" s="74">
        <f t="shared" si="2"/>
        <v>1.4525588539132968</v>
      </c>
      <c r="O23" s="74">
        <f t="shared" si="2"/>
        <v>-1.6148026262724047</v>
      </c>
      <c r="P23" s="74">
        <f t="shared" si="2"/>
        <v>-0.65740891314258598</v>
      </c>
      <c r="Q23" s="74">
        <f t="shared" si="2"/>
        <v>-0.40497451453487238</v>
      </c>
      <c r="R23" s="74">
        <f t="shared" si="2"/>
        <v>-2.0943986137793034</v>
      </c>
      <c r="S23" s="74">
        <f t="shared" si="2"/>
        <v>-0.68534880247682861</v>
      </c>
      <c r="T23" s="74">
        <f t="shared" si="2"/>
        <v>-1.1989551802670928</v>
      </c>
      <c r="U23" s="74">
        <f t="shared" si="2"/>
        <v>0.32987726024913977</v>
      </c>
      <c r="V23" s="74">
        <f t="shared" si="2"/>
        <v>0.68156923201749731</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Norfolk</v>
      </c>
      <c r="G28" s="88"/>
      <c r="H28" s="89"/>
      <c r="I28" s="76">
        <f>VLOOKUP($F28,EMPLOYMENT!$A$6:$BW$345,6,FALSE)</f>
        <v>73.8</v>
      </c>
      <c r="J28" s="77">
        <f>VLOOKUP($F28,EMPLOYMENT!$A$6:$BW$345,10,FALSE)</f>
        <v>72.8</v>
      </c>
      <c r="K28" s="77">
        <f>VLOOKUP($F28,EMPLOYMENT!$A$6:$BW$345,14,FALSE)</f>
        <v>74.5</v>
      </c>
      <c r="L28" s="77">
        <f>VLOOKUP($F28,EMPLOYMENT!$A$6:$BW$345,18,FALSE)</f>
        <v>74</v>
      </c>
      <c r="M28" s="77">
        <f>VLOOKUP($F28,EMPLOYMENT!$A$6:$BW$345,22,FALSE)</f>
        <v>70.599999999999994</v>
      </c>
      <c r="N28" s="77">
        <f>VLOOKUP($F28,EMPLOYMENT!$A$6:$BW$345,26,FALSE)</f>
        <v>74</v>
      </c>
      <c r="O28" s="77">
        <f>VLOOKUP($F28,EMPLOYMENT!$A$6:$BW$345,30,FALSE)</f>
        <v>71.8</v>
      </c>
      <c r="P28" s="77">
        <f>VLOOKUP($F28,EMPLOYMENT!$A$6:$BW$345,34,FALSE)</f>
        <v>73.900000000000006</v>
      </c>
      <c r="Q28" s="77">
        <f>VLOOKUP($F28,EMPLOYMENT!$A$6:$BW$345,38,FALSE)</f>
        <v>74.8</v>
      </c>
      <c r="R28" s="77">
        <f>VLOOKUP($F28,EMPLOYMENT!$A$6:$BW$345,42,FALSE)</f>
        <v>73.7</v>
      </c>
      <c r="S28" s="77">
        <f>VLOOKUP($F28,EMPLOYMENT!$A$6:$BW$345,46,FALSE)</f>
        <v>74.3</v>
      </c>
      <c r="T28" s="77">
        <f>VLOOKUP($F28,EMPLOYMENT!$A$6:$BW$345,50,FALSE)</f>
        <v>75.2</v>
      </c>
      <c r="U28" s="77">
        <f>VLOOKUP($F28,EMPLOYMENT!$A$6:$BW$345,54,FALSE)</f>
        <v>76.900000000000006</v>
      </c>
      <c r="V28" s="77">
        <f>VLOOKUP($F28,EMPLOYMENT!$A$6:$BW$345,58,FALSE)</f>
        <v>75.5</v>
      </c>
      <c r="W28" s="77">
        <f>VLOOKUP($F28,EMPLOYMENT!$A$6:$BW$345,62,FALSE)</f>
        <v>75.400000000000006</v>
      </c>
      <c r="X28" s="77">
        <f>VLOOKUP($F28,EMPLOYMENT!$A$6:$BW$345,66,FALSE)</f>
        <v>77.5</v>
      </c>
      <c r="Y28" s="77">
        <f>VLOOKUP($F28,EMPLOYMENT!$A$6:$BW$345,70,FALSE)</f>
        <v>76.400000000000006</v>
      </c>
      <c r="Z28" s="77">
        <f>VLOOKUP($F28,EMPLOYMENT!$A$6:$BW$345,74,FALSE)</f>
        <v>77</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Norfolk to Rural as a Region</v>
      </c>
      <c r="G31" s="122"/>
      <c r="H31" s="123"/>
      <c r="I31" s="74">
        <f>(I28-I29)</f>
        <v>-2.3113419194017411</v>
      </c>
      <c r="J31" s="74">
        <f t="shared" ref="J31:Z31" si="4">(J28-J29)</f>
        <v>-3.5129754666829598</v>
      </c>
      <c r="K31" s="74">
        <f t="shared" si="4"/>
        <v>-1.3731888994867631</v>
      </c>
      <c r="L31" s="74">
        <f t="shared" si="4"/>
        <v>-1.6404683026278377</v>
      </c>
      <c r="M31" s="74">
        <f t="shared" si="4"/>
        <v>-5.1355243733317479</v>
      </c>
      <c r="N31" s="74">
        <f t="shared" si="4"/>
        <v>-0.50953984287318121</v>
      </c>
      <c r="O31" s="74">
        <f t="shared" si="4"/>
        <v>-1.7471331389698719</v>
      </c>
      <c r="P31" s="74">
        <f t="shared" si="4"/>
        <v>0.16570459672239224</v>
      </c>
      <c r="Q31" s="74">
        <f t="shared" si="4"/>
        <v>0.76684252453742374</v>
      </c>
      <c r="R31" s="74">
        <f t="shared" si="4"/>
        <v>-1.0444749299002041</v>
      </c>
      <c r="S31" s="74">
        <f t="shared" si="4"/>
        <v>-1.8088603400756114</v>
      </c>
      <c r="T31" s="74">
        <f t="shared" si="4"/>
        <v>-1.9905319756090165</v>
      </c>
      <c r="U31" s="74">
        <f t="shared" si="4"/>
        <v>-7.1632481708036266E-2</v>
      </c>
      <c r="V31" s="74">
        <f t="shared" si="4"/>
        <v>-2.5327868852458977</v>
      </c>
      <c r="W31" s="74">
        <f t="shared" si="4"/>
        <v>-2.6481568934141393</v>
      </c>
      <c r="X31" s="74">
        <f t="shared" si="4"/>
        <v>-1.0912993789567054</v>
      </c>
      <c r="Y31" s="74">
        <f t="shared" si="4"/>
        <v>-0.61434629612919878</v>
      </c>
      <c r="Z31" s="74">
        <f t="shared" si="4"/>
        <v>0.84424192212095761</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Norfolk</v>
      </c>
      <c r="G36" s="88" t="str">
        <f>IFERROR(VLOOKUP(F36,GDHI!B338:C574,2,FALSE),VLOOKUP(F36,GDHI!C3:C336,1,FALSE))</f>
        <v>(average of Norwich and East Norfolk, North and West Norfolk, and Breckland and South Norfolk ITL regions)</v>
      </c>
      <c r="H36" s="89" t="str">
        <f>IF(F36=G36,"",G36)</f>
        <v>(average of Norwich and East Norfolk, North and West Norfolk, and Breckland and South Norfolk ITL regions)</v>
      </c>
      <c r="I36" s="83">
        <f>IFERROR(VLOOKUP($F36,GDHI!$B$338:$U$574,GDHI!G$578,FALSE),VLOOKUP($F36,GDHI!$C$3:$U$336,GDHI!F$578,FALSE))</f>
        <v>12320</v>
      </c>
      <c r="J36" s="84">
        <f>IFERROR(VLOOKUP($F36,GDHI!$B$338:$U$574,GDHI!H$578,FALSE),VLOOKUP($F36,GDHI!$C$3:$U$336,GDHI!G$578,FALSE))</f>
        <v>12801.333333333334</v>
      </c>
      <c r="K36" s="84">
        <f>IFERROR(VLOOKUP($F36,GDHI!$B$338:$U$574,GDHI!I$578,FALSE),VLOOKUP($F36,GDHI!$C$3:$U$336,GDHI!H$578,FALSE))</f>
        <v>12887</v>
      </c>
      <c r="L36" s="84">
        <f>IFERROR(VLOOKUP($F36,GDHI!$B$338:$U$574,GDHI!J$578,FALSE),VLOOKUP($F36,GDHI!$C$3:$U$336,GDHI!I$578,FALSE))</f>
        <v>13608</v>
      </c>
      <c r="M36" s="84">
        <f>IFERROR(VLOOKUP($F36,GDHI!$B$338:$U$574,GDHI!K$578,FALSE),VLOOKUP($F36,GDHI!$C$3:$U$336,GDHI!J$578,FALSE))</f>
        <v>14227</v>
      </c>
      <c r="N36" s="84">
        <f>IFERROR(VLOOKUP($F36,GDHI!$B$338:$U$574,GDHI!L$578,FALSE),VLOOKUP($F36,GDHI!$C$3:$U$336,GDHI!K$578,FALSE))</f>
        <v>14571.666666666666</v>
      </c>
      <c r="O36" s="84">
        <f>IFERROR(VLOOKUP($F36,GDHI!$B$338:$U$574,GDHI!M$578,FALSE),VLOOKUP($F36,GDHI!$C$3:$U$336,GDHI!L$578,FALSE))</f>
        <v>15067.333333333334</v>
      </c>
      <c r="P36" s="84">
        <f>IFERROR(VLOOKUP($F36,GDHI!$B$338:$U$574,GDHI!N$578,FALSE),VLOOKUP($F36,GDHI!$C$3:$U$336,GDHI!M$578,FALSE))</f>
        <v>15467.666666666666</v>
      </c>
      <c r="Q36" s="84">
        <f>IFERROR(VLOOKUP($F36,GDHI!$B$338:$U$574,GDHI!O$578,FALSE),VLOOKUP($F36,GDHI!$C$3:$U$336,GDHI!N$578,FALSE))</f>
        <v>16067.666666666666</v>
      </c>
      <c r="R36" s="84">
        <f>IFERROR(VLOOKUP($F36,GDHI!$B$338:$U$574,GDHI!P$578,FALSE),VLOOKUP($F36,GDHI!$C$3:$U$336,GDHI!O$578,FALSE))</f>
        <v>16341</v>
      </c>
      <c r="S36" s="84">
        <f>IFERROR(VLOOKUP($F36,GDHI!$B$338:$U$574,GDHI!Q$578,FALSE),VLOOKUP($F36,GDHI!$C$3:$U$336,GDHI!P$578,FALSE))</f>
        <v>16662.666666666668</v>
      </c>
      <c r="T36" s="84">
        <f>IFERROR(VLOOKUP($F36,GDHI!$B$338:$U$574,GDHI!R$578,FALSE),VLOOKUP($F36,GDHI!$C$3:$U$336,GDHI!Q$578,FALSE))</f>
        <v>17525.333333333332</v>
      </c>
      <c r="U36" s="84">
        <f>IFERROR(VLOOKUP($F36,GDHI!$B$338:$U$574,GDHI!S$578,FALSE),VLOOKUP($F36,GDHI!$C$3:$U$336,GDHI!R$578,FALSE))</f>
        <v>17616.333333333332</v>
      </c>
      <c r="V36" s="84">
        <f>IFERROR(VLOOKUP($F36,GDHI!$B$338:$U$574,GDHI!T$578,FALSE),VLOOKUP($F36,GDHI!$C$3:$U$336,GDHI!S$578,FALSE))</f>
        <v>18011.333333333332</v>
      </c>
      <c r="W36" s="84">
        <f>IFERROR(VLOOKUP($F36,GDHI!$B$338:$U$574,GDHI!U$578,FALSE),VLOOKUP($F36,GDHI!$C$3:$U$336,GDHI!T$578,FALSE))</f>
        <v>18753</v>
      </c>
      <c r="X36" s="84">
        <f>IFERROR(VLOOKUP($F36,GDHI!$B$338:$U$574,GDHI!V$578,FALSE),VLOOKUP($F36,GDHI!$C$3:$U$336,GDHI!U$578,FALSE))</f>
        <v>19249.333333333332</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Norfolk to Rural as a Region</v>
      </c>
      <c r="G39" s="122"/>
      <c r="H39" s="123"/>
      <c r="I39" s="74">
        <f>100*((I36-I37)/I37)</f>
        <v>-16.244603827458445</v>
      </c>
      <c r="J39" s="74">
        <f t="shared" ref="J39:X39" si="6">100*((J36-J37)/J37)</f>
        <v>-16.557161935343192</v>
      </c>
      <c r="K39" s="74">
        <f t="shared" si="6"/>
        <v>-19.072748762551104</v>
      </c>
      <c r="L39" s="74">
        <f t="shared" si="6"/>
        <v>-17.866650571556065</v>
      </c>
      <c r="M39" s="74">
        <f t="shared" si="6"/>
        <v>-16.622561697537812</v>
      </c>
      <c r="N39" s="74">
        <f t="shared" si="6"/>
        <v>-15.736211840107952</v>
      </c>
      <c r="O39" s="74">
        <f t="shared" si="6"/>
        <v>-13.939884338037556</v>
      </c>
      <c r="P39" s="74">
        <f t="shared" si="6"/>
        <v>-13.103228723304646</v>
      </c>
      <c r="Q39" s="74">
        <f t="shared" si="6"/>
        <v>-12.515767053372686</v>
      </c>
      <c r="R39" s="74">
        <f t="shared" si="6"/>
        <v>-13.420305523299641</v>
      </c>
      <c r="S39" s="74">
        <f t="shared" si="6"/>
        <v>-14.092410881703236</v>
      </c>
      <c r="T39" s="74">
        <f t="shared" si="6"/>
        <v>-14.336555907412386</v>
      </c>
      <c r="U39" s="74">
        <f t="shared" si="6"/>
        <v>-14.587080344382555</v>
      </c>
      <c r="V39" s="74">
        <f t="shared" si="6"/>
        <v>-14.090560393753687</v>
      </c>
      <c r="W39" s="74">
        <f t="shared" si="6"/>
        <v>-14.142009834753905</v>
      </c>
      <c r="X39" s="74">
        <f t="shared" si="6"/>
        <v>-13.544935466571435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Norfolk</v>
      </c>
      <c r="G44" s="88"/>
      <c r="H44" s="89"/>
      <c r="I44" s="76">
        <f>VLOOKUP($F44,'LOW PAID'!$A$9:$N$444,6,FALSE)</f>
        <v>26.7</v>
      </c>
      <c r="J44" s="77">
        <f>VLOOKUP($F44,'LOW PAID'!$P$9:$W$444,6,FALSE)</f>
        <v>27.7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Norfolk to Rural as a Region</v>
      </c>
      <c r="G47" s="122"/>
      <c r="H47" s="123"/>
      <c r="I47" s="74">
        <f>(I44-I45)</f>
        <v>1.5061253217868824</v>
      </c>
      <c r="J47" s="74">
        <f>(J44-J45)</f>
        <v>2.0138834909699455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Norfolk</v>
      </c>
      <c r="G52" s="88"/>
      <c r="H52" s="89"/>
      <c r="I52" s="76">
        <f>VLOOKUP($F52,INACTIVITY!$A$6:$BW$345,6,FALSE)</f>
        <v>22.7</v>
      </c>
      <c r="J52" s="77">
        <f>VLOOKUP($F52,INACTIVITY!$A$6:$BW$345,10,FALSE)</f>
        <v>23.7</v>
      </c>
      <c r="K52" s="77">
        <f>VLOOKUP($F52,INACTIVITY!$A$6:$BW$345,14,FALSE)</f>
        <v>22.5</v>
      </c>
      <c r="L52" s="77">
        <f>VLOOKUP($F52,INACTIVITY!$A$6:$BW$345,18,FALSE)</f>
        <v>22.9</v>
      </c>
      <c r="M52" s="77">
        <f>VLOOKUP($F52,INACTIVITY!$A$6:$BW$345,22,FALSE)</f>
        <v>25</v>
      </c>
      <c r="N52" s="77">
        <f>VLOOKUP($F52,INACTIVITY!$A$6:$BW$345,26,FALSE)</f>
        <v>21.1</v>
      </c>
      <c r="O52" s="77">
        <f>VLOOKUP($F52,INACTIVITY!$A$6:$BW$345,30,FALSE)</f>
        <v>22.9</v>
      </c>
      <c r="P52" s="77">
        <f>VLOOKUP($F52,INACTIVITY!$A$6:$BW$345,34,FALSE)</f>
        <v>19.899999999999999</v>
      </c>
      <c r="Q52" s="77">
        <f>VLOOKUP($F52,INACTIVITY!$A$6:$BW$345,38,FALSE)</f>
        <v>20.8</v>
      </c>
      <c r="R52" s="77">
        <f>VLOOKUP($F52,INACTIVITY!$A$6:$BW$345,42,FALSE)</f>
        <v>21</v>
      </c>
      <c r="S52" s="77">
        <f>VLOOKUP($F52,INACTIVITY!$A$6:$BW$345,46,FALSE)</f>
        <v>21.9</v>
      </c>
      <c r="T52" s="77">
        <f>VLOOKUP($F52,INACTIVITY!$A$6:$BW$345,50,FALSE)</f>
        <v>21.5</v>
      </c>
      <c r="U52" s="77">
        <f>VLOOKUP($F52,INACTIVITY!$A$6:$BW$345,54,FALSE)</f>
        <v>19.7</v>
      </c>
      <c r="V52" s="77">
        <f>VLOOKUP($F52,INACTIVITY!$A$6:$BW$345,58,FALSE)</f>
        <v>21.1</v>
      </c>
      <c r="W52" s="77">
        <f>VLOOKUP($F52,INACTIVITY!$A$6:$BW$345,62,FALSE)</f>
        <v>21.5</v>
      </c>
      <c r="X52" s="77">
        <f>VLOOKUP($F52,INACTIVITY!$A$6:$BW$345,66,FALSE)</f>
        <v>19.100000000000001</v>
      </c>
      <c r="Y52" s="77">
        <f>VLOOKUP($F52,INACTIVITY!$A$6:$BW$345,70,FALSE)</f>
        <v>19</v>
      </c>
      <c r="Z52" s="77">
        <f>VLOOKUP($F52,INACTIVITY!$A$6:$BW$345,74,FALSE)</f>
        <v>19.600000000000001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Norfolk to Rural as a Region</v>
      </c>
      <c r="G55" s="122"/>
      <c r="H55" s="123"/>
      <c r="I55" s="74">
        <f>(I52-I53)</f>
        <v>1.304355428389762</v>
      </c>
      <c r="J55" s="74">
        <f t="shared" ref="J55:Z55" si="10">(J52-J53)</f>
        <v>2.6914772727272727</v>
      </c>
      <c r="K55" s="74">
        <f t="shared" si="10"/>
        <v>1.6375346065412231</v>
      </c>
      <c r="L55" s="74">
        <f t="shared" si="10"/>
        <v>1.5859346684633593</v>
      </c>
      <c r="M55" s="74">
        <f t="shared" si="10"/>
        <v>4.1649976891079952</v>
      </c>
      <c r="N55" s="74">
        <f t="shared" si="10"/>
        <v>0.16685624207956096</v>
      </c>
      <c r="O55" s="74">
        <f t="shared" si="10"/>
        <v>1.2080628724948248</v>
      </c>
      <c r="P55" s="74">
        <f t="shared" si="10"/>
        <v>-1.5942457807534502</v>
      </c>
      <c r="Q55" s="74">
        <f t="shared" si="10"/>
        <v>-0.38254879448909307</v>
      </c>
      <c r="R55" s="74">
        <f t="shared" si="10"/>
        <v>0.22540690256122886</v>
      </c>
      <c r="S55" s="74">
        <f t="shared" si="10"/>
        <v>1.6267895440275986</v>
      </c>
      <c r="T55" s="74">
        <f t="shared" si="10"/>
        <v>1.8038053165930421</v>
      </c>
      <c r="U55" s="74">
        <f t="shared" si="10"/>
        <v>-0.15242934706947153</v>
      </c>
      <c r="V55" s="74">
        <f t="shared" si="10"/>
        <v>1.846722665719625</v>
      </c>
      <c r="W55" s="74">
        <f t="shared" si="10"/>
        <v>2.3230439908171512</v>
      </c>
      <c r="X55" s="74">
        <f t="shared" si="10"/>
        <v>0.24793505063507126</v>
      </c>
      <c r="Y55" s="74">
        <f t="shared" si="10"/>
        <v>-0.77258272187146204</v>
      </c>
      <c r="Z55" s="74">
        <f t="shared" si="10"/>
        <v>-1.4851797756300691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Norfolk</v>
      </c>
      <c r="G60" s="88"/>
      <c r="H60" s="89"/>
      <c r="I60" s="76">
        <f>VLOOKUP($F60,DISABILITY!$A$718:$I$1052,DISABILITY!B$1053,FALSE)</f>
        <v>29.699999999999996</v>
      </c>
      <c r="J60" s="77">
        <f>VLOOKUP($F60,DISABILITY!$A$718:$I$1052,DISABILITY!C$1053,FALSE)</f>
        <v>33.800000000000004</v>
      </c>
      <c r="K60" s="77">
        <f>VLOOKUP($F60,DISABILITY!$A$718:$I$1052,DISABILITY!D$1053,FALSE)</f>
        <v>33.300000000000004</v>
      </c>
      <c r="L60" s="77">
        <f>VLOOKUP($F60,DISABILITY!$A$718:$I$1052,DISABILITY!E$1053,FALSE)</f>
        <v>23</v>
      </c>
      <c r="M60" s="77">
        <f>VLOOKUP($F60,DISABILITY!$A$718:$I$1052,DISABILITY!F$1053,FALSE)</f>
        <v>30.200000000000003</v>
      </c>
      <c r="N60" s="77">
        <f>VLOOKUP($F60,DISABILITY!$A$718:$I$1052,DISABILITY!G$1053,FALSE)</f>
        <v>21.500000000000007</v>
      </c>
      <c r="O60" s="77">
        <f>VLOOKUP($F60,DISABILITY!$A$718:$I$1052,DISABILITY!H$1053,FALSE)</f>
        <v>20.5</v>
      </c>
      <c r="P60" s="77">
        <f>VLOOKUP($F60,DISABILITY!$A$718:$I$1052,DISABILITY!I$1053,FALSE)</f>
        <v>22.799999999999997</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Norfolk to Rural as a Region</v>
      </c>
      <c r="G63" s="122"/>
      <c r="H63" s="123"/>
      <c r="I63" s="74">
        <f>(I60-I61)</f>
        <v>2.2798434593527475</v>
      </c>
      <c r="J63" s="74">
        <f t="shared" ref="J63:P63" si="12">(J60-J61)</f>
        <v>6.480955592948817</v>
      </c>
      <c r="K63" s="74">
        <f t="shared" si="12"/>
        <v>5.1808716385017988</v>
      </c>
      <c r="L63" s="74">
        <f t="shared" si="12"/>
        <v>-2.9909345389966759</v>
      </c>
      <c r="M63" s="74">
        <f t="shared" si="12"/>
        <v>4.7247741813338848</v>
      </c>
      <c r="N63" s="74">
        <f t="shared" si="12"/>
        <v>-4.0312476854419756</v>
      </c>
      <c r="O63" s="74">
        <f t="shared" si="12"/>
        <v>-3.2972222879969451</v>
      </c>
      <c r="P63" s="74">
        <f t="shared" si="12"/>
        <v>-2.5541779303421777</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Norfolk</v>
      </c>
      <c r="G68" s="88"/>
      <c r="H68" s="89"/>
      <c r="I68" s="76">
        <f>VLOOKUP($F68,'WORKLESS HOUSEHOLDS'!$DW$4:$EC$397,7,FALSE)</f>
        <v>14.124132698044523</v>
      </c>
      <c r="J68" s="77">
        <f>VLOOKUP($F68,'WORKLESS HOUSEHOLDS'!$DN$4:$DT$397,7,FALSE)</f>
        <v>10.168415633041908</v>
      </c>
      <c r="K68" s="77">
        <f>VLOOKUP($F68,'WORKLESS HOUSEHOLDS'!$DE$4:$DK$397,7,FALSE)</f>
        <v>14.293839455888039</v>
      </c>
      <c r="L68" s="77">
        <f>VLOOKUP($F68,'WORKLESS HOUSEHOLDS'!$CV$4:$DB$397,7,FALSE)</f>
        <v>14.298411072756142</v>
      </c>
      <c r="M68" s="77">
        <f>VLOOKUP($F68,'WORKLESS HOUSEHOLDS'!$CM$4:$CS$397,7,FALSE)</f>
        <v>12.351584093529489</v>
      </c>
      <c r="N68" s="77">
        <f>VLOOKUP($F68,'WORKLESS HOUSEHOLDS'!$CD$4:$CJ$397,7,FALSE)</f>
        <v>13.219079578139981</v>
      </c>
      <c r="O68" s="77">
        <f>VLOOKUP($F68,'WORKLESS HOUSEHOLDS'!$BU$4:$CA$397,7,FALSE)</f>
        <v>10.681067901319125</v>
      </c>
      <c r="P68" s="77">
        <f>VLOOKUP($F68,'WORKLESS HOUSEHOLDS'!$BL$4:$BR$397,7,FALSE)</f>
        <v>9.8242329532267796</v>
      </c>
      <c r="Q68" s="77">
        <f>VLOOKUP($F68,'WORKLESS HOUSEHOLDS'!$BC$4:$BI$397,7,FALSE)</f>
        <v>9.891653144532814</v>
      </c>
      <c r="R68" s="77">
        <f>VLOOKUP($F68,'WORKLESS HOUSEHOLDS'!$AT$4:$AZ$397,7,FALSE)</f>
        <v>9.4265225652236087</v>
      </c>
      <c r="S68" s="77">
        <f>VLOOKUP($F68,'WORKLESS HOUSEHOLDS'!$AK$4:$AQ$397,7,FALSE)</f>
        <v>6.8395847824923752</v>
      </c>
      <c r="T68" s="77">
        <f>VLOOKUP($F68,'WORKLESS HOUSEHOLDS'!$AB$4:$AH$397,7,FALSE)</f>
        <v>8.9073263406824807</v>
      </c>
      <c r="U68" s="77">
        <f>VLOOKUP($F68,'WORKLESS HOUSEHOLDS'!$S$4:$Y$397,7,FALSE)</f>
        <v>10.774926052056932</v>
      </c>
      <c r="V68" s="77">
        <f>VLOOKUP($F68,'WORKLESS HOUSEHOLDS'!$J$4:$P$397,7,FALSE)</f>
        <v>2.7704984047331411</v>
      </c>
      <c r="W68" s="77">
        <f>VLOOKUP($F68,'WORKLESS HOUSEHOLDS'!$B$4:$H$397,7,FALSE)</f>
        <v>11.482098358962441</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Norfolk to Rural as a Region</v>
      </c>
      <c r="G71" s="122"/>
      <c r="H71" s="123"/>
      <c r="I71" s="74">
        <f>(I68-I69)</f>
        <v>4.1121868354578321</v>
      </c>
      <c r="J71" s="74">
        <f t="shared" ref="J71:W71" si="14">(J68-J69)</f>
        <v>-0.74273920443311603</v>
      </c>
      <c r="K71" s="74">
        <f t="shared" si="14"/>
        <v>4.0005937267321947</v>
      </c>
      <c r="L71" s="74">
        <f t="shared" si="14"/>
        <v>3.3324044114264098</v>
      </c>
      <c r="M71" s="74">
        <f t="shared" si="14"/>
        <v>0.65780491234101568</v>
      </c>
      <c r="N71" s="74">
        <f t="shared" si="14"/>
        <v>1.3179798988845999</v>
      </c>
      <c r="O71" s="74">
        <f t="shared" si="14"/>
        <v>-0.35418534642338706</v>
      </c>
      <c r="P71" s="74">
        <f t="shared" si="14"/>
        <v>0.13273506745894181</v>
      </c>
      <c r="Q71" s="74">
        <f t="shared" si="14"/>
        <v>-0.91352511586559793</v>
      </c>
      <c r="R71" s="74">
        <f t="shared" si="14"/>
        <v>-1.2795737585059452</v>
      </c>
      <c r="S71" s="74">
        <f t="shared" si="14"/>
        <v>-3.313160045656506</v>
      </c>
      <c r="T71" s="74">
        <f t="shared" si="14"/>
        <v>-0.99634185395026975</v>
      </c>
      <c r="U71" s="74">
        <f t="shared" si="14"/>
        <v>1.2875887377456152E-2</v>
      </c>
      <c r="V71" s="74">
        <f t="shared" si="14"/>
        <v>-7.1683700718065069</v>
      </c>
      <c r="W71" s="74">
        <f t="shared" si="14"/>
        <v>1.1293969357782476</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Norfolk</v>
      </c>
      <c r="G76" s="88"/>
      <c r="H76" s="89"/>
      <c r="I76" s="76">
        <f>VLOOKUP($F76,'SKILLED EMPLOYMENT'!$A$1506:$BW$1841,6,FALSE)</f>
        <v>48.8</v>
      </c>
      <c r="J76" s="77">
        <f>VLOOKUP($F76,'SKILLED EMPLOYMENT'!$A$1506:$BW$1841,10,FALSE)</f>
        <v>50.6</v>
      </c>
      <c r="K76" s="77">
        <f>VLOOKUP($F76,'SKILLED EMPLOYMENT'!$A$1506:$BW$1841,14,FALSE)</f>
        <v>49.400000000000006</v>
      </c>
      <c r="L76" s="77">
        <f>VLOOKUP($F76,'SKILLED EMPLOYMENT'!$A$1506:$BW$1841,18,FALSE)</f>
        <v>50.100000000000009</v>
      </c>
      <c r="M76" s="77">
        <f>VLOOKUP($F76,'SKILLED EMPLOYMENT'!$A$1506:$BW$1841,22,FALSE)</f>
        <v>50.8</v>
      </c>
      <c r="N76" s="77">
        <f>VLOOKUP($F76,'SKILLED EMPLOYMENT'!$A$1506:$BW$1841,26,FALSE)</f>
        <v>52.3</v>
      </c>
      <c r="O76" s="77">
        <f>VLOOKUP($F76,'SKILLED EMPLOYMENT'!$A$1506:$BW$1841,30,FALSE)</f>
        <v>49.400000000000006</v>
      </c>
      <c r="P76" s="77">
        <f>VLOOKUP($F76,'SKILLED EMPLOYMENT'!$A$1506:$BW$1841,34,FALSE)</f>
        <v>46.7</v>
      </c>
      <c r="Q76" s="77">
        <f>VLOOKUP($F76,'SKILLED EMPLOYMENT'!$A$1506:$BW$1841,38,FALSE)</f>
        <v>52.9</v>
      </c>
      <c r="R76" s="77">
        <f>VLOOKUP($F76,'SKILLED EMPLOYMENT'!$A$1506:$BW$1841,42,FALSE)</f>
        <v>51.900000000000006</v>
      </c>
      <c r="S76" s="77">
        <f>VLOOKUP($F76,'SKILLED EMPLOYMENT'!$A$1506:$BW$1841,46,FALSE)</f>
        <v>51.2</v>
      </c>
      <c r="T76" s="77">
        <f>VLOOKUP($F76,'SKILLED EMPLOYMENT'!$A$1506:$BW$1841,50,FALSE)</f>
        <v>51.599999999999994</v>
      </c>
      <c r="U76" s="77">
        <f>VLOOKUP($F76,'SKILLED EMPLOYMENT'!$A$1506:$BW$1841,54,FALSE)</f>
        <v>54.3</v>
      </c>
      <c r="V76" s="77">
        <f>VLOOKUP($F76,'SKILLED EMPLOYMENT'!$A$1506:$BW$1841,58,FALSE)</f>
        <v>54.2</v>
      </c>
      <c r="W76" s="77">
        <f>VLOOKUP($F76,'SKILLED EMPLOYMENT'!$A$1506:$BW$1841,62,FALSE)</f>
        <v>52.7</v>
      </c>
      <c r="X76" s="77">
        <f>VLOOKUP($F76,'SKILLED EMPLOYMENT'!$A$1506:$BW$1841,66,FALSE)</f>
        <v>51.1</v>
      </c>
      <c r="Y76" s="77">
        <f>VLOOKUP($F76,'SKILLED EMPLOYMENT'!$A$1506:$BW$1841,70,FALSE)</f>
        <v>54.2</v>
      </c>
      <c r="Z76" s="77">
        <f>VLOOKUP($F76,'SKILLED EMPLOYMENT'!$A$1506:$BW$1841,74,FALSE)</f>
        <v>53.6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Norfolk to Rural as a Region</v>
      </c>
      <c r="G79" s="122"/>
      <c r="H79" s="123"/>
      <c r="I79" s="74">
        <f>(I76-I77)</f>
        <v>-3.9000000000000057</v>
      </c>
      <c r="J79" s="74">
        <f t="shared" ref="J79:Z79" si="17">(J76-J77)</f>
        <v>-2.2999999999999972</v>
      </c>
      <c r="K79" s="74">
        <f t="shared" si="17"/>
        <v>-4.0999999999999943</v>
      </c>
      <c r="L79" s="74">
        <f t="shared" si="17"/>
        <v>-3.8999999999999915</v>
      </c>
      <c r="M79" s="74">
        <f t="shared" si="17"/>
        <v>-3.3000000000000043</v>
      </c>
      <c r="N79" s="74">
        <f t="shared" si="17"/>
        <v>-2.1000000000000014</v>
      </c>
      <c r="O79" s="74">
        <f t="shared" si="17"/>
        <v>-5.9999999999999929</v>
      </c>
      <c r="P79" s="74">
        <f t="shared" si="17"/>
        <v>-8.8999999999999986</v>
      </c>
      <c r="Q79" s="74">
        <f t="shared" si="17"/>
        <v>-2.5</v>
      </c>
      <c r="R79" s="74">
        <f t="shared" si="17"/>
        <v>-4.2999999999999972</v>
      </c>
      <c r="S79" s="74">
        <f t="shared" si="17"/>
        <v>-5</v>
      </c>
      <c r="T79" s="74">
        <f t="shared" si="17"/>
        <v>-5.2000000000000028</v>
      </c>
      <c r="U79" s="74">
        <f t="shared" si="17"/>
        <v>-2.3000000000000043</v>
      </c>
      <c r="V79" s="74">
        <f t="shared" si="17"/>
        <v>-2.8999999999999986</v>
      </c>
      <c r="W79" s="74">
        <f t="shared" si="17"/>
        <v>-5.0999999999999943</v>
      </c>
      <c r="X79" s="74">
        <f t="shared" si="17"/>
        <v>-7.6999999999999957</v>
      </c>
      <c r="Y79" s="74">
        <f t="shared" si="17"/>
        <v>-4.5</v>
      </c>
      <c r="Z79" s="74">
        <f t="shared" si="17"/>
        <v>-4.7999999999999972</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LrkohscdkJAlTLk9LzvZMVWNQ2KNQyuGIdykNmDtbOjhdiZzZj+nf+QR7k6MVz0LDAqPFrK3MDKq0vZjpCzZTg==" saltValue="UY8jZHA7URx8JZAUiYmRS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2022-08-02T11:32:35Z</dcterms:modified>
</cp:coreProperties>
</file>