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EEB16097-F0AA-4645-A758-AF5DEF943AC1}" xr6:coauthVersionLast="47" xr6:coauthVersionMax="47" xr10:uidLastSave="{6534313F-E5D3-466A-BB2C-BCFDCAC7F01D}"/>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<sst xmlns="http://schemas.openxmlformats.org/spreadsheetml/2006/main" count="32859" uniqueCount="1676">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</sst>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23.01</c:v>
                </c:pt>
                <c:pt idx="1">
                  <c:v>25.1</c:v>
                </c:pt>
                <c:pt idx="2">
                  <c:v>26.19</c:v>
                </c:pt>
                <c:pt idx="3">
                  <c:v>27.24</c:v>
                </c:pt>
                <c:pt idx="4">
                  <c:v>28.03</c:v>
                </c:pt>
                <c:pt idx="5">
                  <c:v>28.49</c:v>
                </c:pt>
                <c:pt idx="6">
                  <c:v>28.34</c:v>
                </c:pt>
                <c:pt idx="7">
                  <c:v>27.92</c:v>
                </c:pt>
                <c:pt idx="8">
                  <c:v>28.5</c:v>
                </c:pt>
                <c:pt idx="9">
                  <c:v>29.63</c:v>
                </c:pt>
                <c:pt idx="10">
                  <c:v>31</c:v>
                </c:pt>
                <c:pt idx="11">
                  <c:v>31.33</c:v>
                </c:pt>
                <c:pt idx="12">
                  <c:v>33.92</c:v>
                </c:pt>
                <c:pt idx="13">
                  <c:v>32.549999999999997</c:v>
                </c:pt>
                <c:pt idx="14">
                  <c:v>32.53</c:v>
                </c:pt>
                <c:pt idx="15">
                  <c:v>34.369999999999997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441.6</c:v>
                </c:pt>
                <c:pt idx="1">
                  <c:v>439.4</c:v>
                </c:pt>
                <c:pt idx="2">
                  <c:v>460</c:v>
                </c:pt>
                <c:pt idx="3">
                  <c:v>465.1</c:v>
                </c:pt>
                <c:pt idx="4">
                  <c:v>455.3</c:v>
                </c:pt>
                <c:pt idx="5">
                  <c:v>463.1</c:v>
                </c:pt>
                <c:pt idx="6">
                  <c:v>467.1</c:v>
                </c:pt>
                <c:pt idx="7">
                  <c:v>479.1</c:v>
                </c:pt>
                <c:pt idx="8">
                  <c:v>494.6</c:v>
                </c:pt>
                <c:pt idx="9">
                  <c:v>501.5</c:v>
                </c:pt>
                <c:pt idx="10">
                  <c:v>523.20000000000005</c:v>
                </c:pt>
                <c:pt idx="11">
                  <c:v>544.9</c:v>
                </c:pt>
                <c:pt idx="12">
                  <c:v>527.20000000000005</c:v>
                </c:pt>
                <c:pt idx="13">
                  <c:v>554.70000000000005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c:v>
                </c:pt>
                <c:pt idx="1">
                  <c:v>77.099999999999994</c:v>
                </c:pt>
                <c:pt idx="2">
                  <c:v>75.3</c:v>
                </c:pt>
                <c:pt idx="3">
                  <c:v>76.8</c:v>
                </c:pt>
                <c:pt idx="4">
                  <c:v>77.8</c:v>
                </c:pt>
                <c:pt idx="5">
                  <c:v>75.7</c:v>
                </c:pt>
                <c:pt idx="6">
                  <c:v>73.900000000000006</c:v>
                </c:pt>
                <c:pt idx="7">
                  <c:v>76.099999999999994</c:v>
                </c:pt>
                <c:pt idx="8">
                  <c:v>76.900000000000006</c:v>
                </c:pt>
                <c:pt idx="9">
                  <c:v>75.7</c:v>
                </c:pt>
                <c:pt idx="10">
                  <c:v>75.5</c:v>
                </c:pt>
                <c:pt idx="11">
                  <c:v>76.599999999999994</c:v>
                </c:pt>
                <c:pt idx="12">
                  <c:v>77.099999999999994</c:v>
                </c:pt>
                <c:pt idx="13">
                  <c:v>77.400000000000006</c:v>
                </c:pt>
                <c:pt idx="14">
                  <c:v>78.5</c:v>
                </c:pt>
                <c:pt idx="15">
                  <c:v>78.3</c:v>
                </c:pt>
                <c:pt idx="16">
                  <c:v>76.5</c:v>
                </c:pt>
                <c:pt idx="17">
                  <c:v>78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13217</c:v>
                </c:pt>
                <c:pt idx="1">
                  <c:v>13723</c:v>
                </c:pt>
                <c:pt idx="2">
                  <c:v>14046</c:v>
                </c:pt>
                <c:pt idx="3">
                  <c:v>14587</c:v>
                </c:pt>
                <c:pt idx="4">
                  <c:v>15427</c:v>
                </c:pt>
                <c:pt idx="5">
                  <c:v>15899</c:v>
                </c:pt>
                <c:pt idx="6">
                  <c:v>16031</c:v>
                </c:pt>
                <c:pt idx="7">
                  <c:v>16121</c:v>
                </c:pt>
                <c:pt idx="8">
                  <c:v>16783</c:v>
                </c:pt>
                <c:pt idx="9">
                  <c:v>17220</c:v>
                </c:pt>
                <c:pt idx="10">
                  <c:v>17614</c:v>
                </c:pt>
                <c:pt idx="11">
                  <c:v>18629</c:v>
                </c:pt>
                <c:pt idx="12">
                  <c:v>18762</c:v>
                </c:pt>
                <c:pt idx="13">
                  <c:v>19054</c:v>
                </c:pt>
                <c:pt idx="14">
                  <c:v>19911</c:v>
                </c:pt>
                <c:pt idx="15">
                  <c:v>20323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25.9</c:v>
                </c:pt>
                <c:pt idx="1">
                  <c:v>25.8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21.2</c:v>
                </c:pt>
                <c:pt idx="1">
                  <c:v>20.2</c:v>
                </c:pt>
                <c:pt idx="2">
                  <c:v>20.9</c:v>
                </c:pt>
                <c:pt idx="3">
                  <c:v>20.399999999999999</c:v>
                </c:pt>
                <c:pt idx="4">
                  <c:v>18.600000000000001</c:v>
                </c:pt>
                <c:pt idx="5">
                  <c:v>19.7</c:v>
                </c:pt>
                <c:pt idx="6">
                  <c:v>21.1</c:v>
                </c:pt>
                <c:pt idx="7">
                  <c:v>19.399999999999999</c:v>
                </c:pt>
                <c:pt idx="8">
                  <c:v>17.8</c:v>
                </c:pt>
                <c:pt idx="9">
                  <c:v>19.100000000000001</c:v>
                </c:pt>
                <c:pt idx="10">
                  <c:v>20.2</c:v>
                </c:pt>
                <c:pt idx="11">
                  <c:v>20</c:v>
                </c:pt>
                <c:pt idx="12">
                  <c:v>20.100000000000001</c:v>
                </c:pt>
                <c:pt idx="13">
                  <c:v>19.100000000000001</c:v>
                </c:pt>
                <c:pt idx="14">
                  <c:v>18.399999999999999</c:v>
                </c:pt>
                <c:pt idx="15">
                  <c:v>19.8</c:v>
                </c:pt>
                <c:pt idx="16">
                  <c:v>20</c:v>
                </c:pt>
                <c:pt idx="17">
                  <c:v>19.5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29.5</c:v>
                </c:pt>
                <c:pt idx="1">
                  <c:v>31.199999999999996</c:v>
                </c:pt>
                <c:pt idx="2">
                  <c:v>23.900000000000006</c:v>
                </c:pt>
                <c:pt idx="3">
                  <c:v>27.900000000000006</c:v>
                </c:pt>
                <c:pt idx="4">
                  <c:v>19.099999999999994</c:v>
                </c:pt>
                <c:pt idx="5">
                  <c:v>24.300000000000004</c:v>
                </c:pt>
                <c:pt idx="6">
                  <c:v>27.899999999999991</c:v>
                </c:pt>
                <c:pt idx="7">
                  <c:v>26.799999999999997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9.4024396920538358</c:v>
                </c:pt>
                <c:pt idx="1">
                  <c:v>9.3142532019345143</c:v>
                </c:pt>
                <c:pt idx="2">
                  <c:v>11.074394476546361</c:v>
                </c:pt>
                <c:pt idx="3">
                  <c:v>12.025659083401571</c:v>
                </c:pt>
                <c:pt idx="4">
                  <c:v>12.419984864194653</c:v>
                </c:pt>
                <c:pt idx="5">
                  <c:v>14.365847077197314</c:v>
                </c:pt>
                <c:pt idx="6">
                  <c:v>0</c:v>
                </c:pt>
                <c:pt idx="7">
                  <c:v>12.35901885006704</c:v>
                </c:pt>
                <c:pt idx="8">
                  <c:v>11.865288053005319</c:v>
                </c:pt>
                <c:pt idx="9">
                  <c:v>9.1107595641808334</c:v>
                </c:pt>
                <c:pt idx="10">
                  <c:v>7.9823434755008345</c:v>
                </c:pt>
                <c:pt idx="11">
                  <c:v>7.3315407685375327</c:v>
                </c:pt>
                <c:pt idx="12">
                  <c:v>9.0983936003319101</c:v>
                </c:pt>
                <c:pt idx="13">
                  <c:v>5.9598957773718713</c:v>
                </c:pt>
                <c:pt idx="14">
                  <c:v>5.468280721095069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51.199999999999996</c:v>
                </c:pt>
                <c:pt idx="1">
                  <c:v>49.800000000000004</c:v>
                </c:pt>
                <c:pt idx="2">
                  <c:v>51.199999999999996</c:v>
                </c:pt>
                <c:pt idx="3">
                  <c:v>50.900000000000006</c:v>
                </c:pt>
                <c:pt idx="4">
                  <c:v>49.9</c:v>
                </c:pt>
                <c:pt idx="5">
                  <c:v>51.1</c:v>
                </c:pt>
                <c:pt idx="6">
                  <c:v>54</c:v>
                </c:pt>
                <c:pt idx="7">
                  <c:v>54.099999999999994</c:v>
                </c:pt>
                <c:pt idx="8">
                  <c:v>52.5</c:v>
                </c:pt>
                <c:pt idx="9">
                  <c:v>55.4</c:v>
                </c:pt>
                <c:pt idx="10">
                  <c:v>51.2</c:v>
                </c:pt>
                <c:pt idx="11">
                  <c:v>51.7</c:v>
                </c:pt>
                <c:pt idx="12">
                  <c:v>52.1</c:v>
                </c:pt>
                <c:pt idx="13">
                  <c:v>50.8</c:v>
                </c:pt>
                <c:pt idx="14">
                  <c:v>53.5</c:v>
                </c:pt>
                <c:pt idx="15">
                  <c:v>55.800000000000004</c:v>
                </c:pt>
                <c:pt idx="16">
                  <c:v>53.400000000000006</c:v>
                </c:pt>
                <c:pt idx="17">
                  <c:v>53.8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76200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382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Suffolk from 2004 to 2013 is generally greater than that seen for rural, from 2014 to 2021 it follows more closely the situation for 'Rural as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Suffolk at a rate similar to rural, it is below both the rural and England situations and therefore dropping further behind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Suffolk, it's proportion remained just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Suffolk's economic inactivity rate is similar over the years to that seen in rural, however with some fluctuation taking it at times both above as well as below the proportion seen for </a:t>
          </a:r>
          <a:r>
            <a:rPr lang="en-GB" sz="1100">
              <a:latin typeface="Avenir Next LT Pro" panose="020B0504020202020204" pitchFamily="34" charset="0"/>
            </a:rPr>
            <a:t>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Suffolk shows some year on year fluctuation but is generally in line with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Suffolk was similar to rural from 2006 to 2014, however where as the rural proportion was relatively stable to 2020, Suffolk's proportion fell from 2015 to 2020 taking it well below both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Suffolk in general has had a stable proportion of employed people in skilled employment from 2004 to 2021, below that seen for 'Rural as a Region' and England.</a:t>
          </a:r>
          <a:endParaRPr lang="en-GB" sz="1100">
            <a:latin typeface="Avenir Next LT Pro" panose="020B0504020202020204" pitchFamily="34" charset="0"/>
          </a:endParaRPr>
        </a:p>
      </xdr:txBody>
    </xdr:sp>
    <xdr:clientData/>
  </xdr:twoCellAnchor>
  <xdr:twoCellAnchor>
    <xdr:from>
      <xdr:col>0</xdr:col>
      <xdr:colOff>586740</xdr:colOff>
      <xdr:row>12</xdr:row>
      <xdr:rowOff>533400</xdr:rowOff>
    </xdr:from>
    <xdr:to>
      <xdr:col>1</xdr:col>
      <xdr:colOff>2567940</xdr:colOff>
      <xdr:row>14</xdr:row>
      <xdr:rowOff>38100</xdr:rowOff>
    </xdr:to>
    <xdr:sp macro="" textlink="">
      <xdr:nvSpPr>
        <xdr:cNvPr id="20" name="TextBox 19">
          <a:extLst>
            <a:ext uri="{FF2B5EF4-FFF2-40B4-BE49-F238E27FC236}">
              <a16:creationId xmlns:a16="http://schemas.microsoft.com/office/drawing/2014/main" id="{9BCA55B1-C428-4D80-9988-234FE264084A}"/>
            </a:ext>
          </a:extLst>
        </xdr:cNvPr>
        <xdr:cNvSpPr txBox="1"/>
      </xdr:nvSpPr>
      <xdr:spPr>
        <a:xfrm>
          <a:off x="586740" y="35204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Suffolk from 2004 to 2019 is roughly bounded by the England situation as the upper limit and the rural situation as the lower limit.</a:t>
          </a:r>
          <a:endParaRPr lang="en-GB" sz="1100">
            <a:latin typeface="Avenir Next LT Pro" panose="020B0504020202020204" pitchFamily="34" charset="0"/>
          </a:endParaRPr>
        </a:p>
      </xdr:txBody>
    </xdr:sp>
    <xdr:clientData/>
  </xdr:twoCellAnchor>
  <xdr:twoCellAnchor>
    <xdr:from>
      <xdr:col>0</xdr:col>
      <xdr:colOff>624840</xdr:colOff>
      <xdr:row>20</xdr:row>
      <xdr:rowOff>640080</xdr:rowOff>
    </xdr:from>
    <xdr:to>
      <xdr:col>1</xdr:col>
      <xdr:colOff>2606040</xdr:colOff>
      <xdr:row>22</xdr:row>
      <xdr:rowOff>167640</xdr:rowOff>
    </xdr:to>
    <xdr:sp macro="" textlink="">
      <xdr:nvSpPr>
        <xdr:cNvPr id="21" name="TextBox 20">
          <a:extLst>
            <a:ext uri="{FF2B5EF4-FFF2-40B4-BE49-F238E27FC236}">
              <a16:creationId xmlns:a16="http://schemas.microsoft.com/office/drawing/2014/main" id="{E7C6CD3E-1551-4D50-8871-7E62FB5A8F17}"/>
            </a:ext>
          </a:extLst>
        </xdr:cNvPr>
        <xdr:cNvSpPr txBox="1"/>
      </xdr:nvSpPr>
      <xdr:spPr>
        <a:xfrm>
          <a:off x="62484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Suffolk very closely follows the 'Rural as a Region'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148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Suffolk</v>
      </c>
      <c r="G12" s="88" t="str">
        <f>IFERROR(VLOOKUP(F12,GVA!B244:B552,1,FALSE),VLOOKUP(F12,GVA!B6:C230,2,FALSE))</f>
        <v/>
      </c>
      <c r="H12" s="89" t="str">
        <f>IF(F12=G12,"",G12)</f>
        <v/>
      </c>
      <c r="I12" s="76">
        <f>IFERROR(VLOOKUP($F12,GVA!$B$7:$S$230,GVA!D$3,FALSE),VLOOKUP($F12,GVA!$B$244:$T$554,GVA!E$3,FALSE))</f>
        <v>23.01</v>
      </c>
      <c r="J12" s="77">
        <f>IFERROR(VLOOKUP($F12,GVA!$B$7:$S$230,GVA!E$3,FALSE),VLOOKUP($F12,GVA!$B$244:$T$554,GVA!F$3,FALSE))</f>
        <v>25.1</v>
      </c>
      <c r="K12" s="77">
        <f>IFERROR(VLOOKUP($F12,GVA!$B$7:$S$230,GVA!F$3,FALSE),VLOOKUP($F12,GVA!$B$244:$T$554,GVA!G$3,FALSE))</f>
        <v>26.19</v>
      </c>
      <c r="L12" s="77">
        <f>IFERROR(VLOOKUP($F12,GVA!$B$7:$S$230,GVA!G$3,FALSE),VLOOKUP($F12,GVA!$B$244:$T$554,GVA!H$3,FALSE))</f>
        <v>27.24</v>
      </c>
      <c r="M12" s="77">
        <f>IFERROR(VLOOKUP($F12,GVA!$B$7:$S$230,GVA!H$3,FALSE),VLOOKUP($F12,GVA!$B$244:$T$554,GVA!I$3,FALSE))</f>
        <v>28.03</v>
      </c>
      <c r="N12" s="77">
        <f>IFERROR(VLOOKUP($F12,GVA!$B$7:$S$230,GVA!I$3,FALSE),VLOOKUP($F12,GVA!$B$244:$T$554,GVA!J$3,FALSE))</f>
        <v>28.49</v>
      </c>
      <c r="O12" s="77">
        <f>IFERROR(VLOOKUP($F12,GVA!$B$7:$S$230,GVA!J$3,FALSE),VLOOKUP($F12,GVA!$B$244:$T$554,GVA!K$3,FALSE))</f>
        <v>28.34</v>
      </c>
      <c r="P12" s="77">
        <f>IFERROR(VLOOKUP($F12,GVA!$B$7:$S$230,GVA!K$3,FALSE),VLOOKUP($F12,GVA!$B$244:$T$554,GVA!L$3,FALSE))</f>
        <v>27.92</v>
      </c>
      <c r="Q12" s="77">
        <f>IFERROR(VLOOKUP($F12,GVA!$B$7:$S$230,GVA!L$3,FALSE),VLOOKUP($F12,GVA!$B$244:$T$554,GVA!M$3,FALSE))</f>
        <v>28.5</v>
      </c>
      <c r="R12" s="77">
        <f>IFERROR(VLOOKUP($F12,GVA!$B$7:$S$230,GVA!M$3,FALSE),VLOOKUP($F12,GVA!$B$244:$T$554,GVA!N$3,FALSE))</f>
        <v>29.63</v>
      </c>
      <c r="S12" s="77">
        <f>IFERROR(VLOOKUP($F12,GVA!$B$7:$S$230,GVA!N$3,FALSE),VLOOKUP($F12,GVA!$B$244:$T$554,GVA!O$3,FALSE))</f>
        <v>31</v>
      </c>
      <c r="T12" s="77">
        <f>IFERROR(VLOOKUP($F12,GVA!$B$7:$S$230,GVA!O$3,FALSE),VLOOKUP($F12,GVA!$B$244:$T$554,GVA!P$3,FALSE))</f>
        <v>31.33</v>
      </c>
      <c r="U12" s="77">
        <f>IFERROR(VLOOKUP($F12,GVA!$B$7:$S$230,GVA!P$3,FALSE),VLOOKUP($F12,GVA!$B$244:$T$554,GVA!Q$3,FALSE))</f>
        <v>33.92</v>
      </c>
      <c r="V12" s="77">
        <f>IFERROR(VLOOKUP($F12,GVA!$B$7:$S$230,GVA!Q$3,FALSE),VLOOKUP($F12,GVA!$B$244:$T$554,GVA!R$3,FALSE))</f>
        <v>32.549999999999997</v>
      </c>
      <c r="W12" s="77">
        <f>IFERROR(VLOOKUP($F12,GVA!$B$7:$S$230,GVA!R$3,FALSE),VLOOKUP($F12,GVA!$B$244:$T$554,GVA!S$3,FALSE))</f>
        <v>32.53</v>
      </c>
      <c r="X12" s="77">
        <f>IFERROR(VLOOKUP($F12,GVA!$B$7:$S$230,GVA!S$3,FALSE),VLOOKUP($F12,GVA!$B$244:$T$554,GVA!T$3,FALSE))</f>
        <v>34.369999999999997</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Suffolk to Rural as a Region</v>
      </c>
      <c r="G15" s="102"/>
      <c r="H15" s="103"/>
      <c r="I15" s="74">
        <f>100*((I12-I13)/I13)</f>
        <v>-2.2519811669034606</v>
      </c>
      <c r="J15" s="74">
        <f t="shared" ref="J15:X15" si="0">100*((J12-J13)/J13)</f>
        <v>6.923342191208393</v>
      </c>
      <c r="K15" s="74">
        <f t="shared" si="0"/>
        <v>7.7603562034356015</v>
      </c>
      <c r="L15" s="74">
        <f t="shared" si="0"/>
        <v>9.6681428653591439</v>
      </c>
      <c r="M15" s="74">
        <f t="shared" si="0"/>
        <v>10.945561979615805</v>
      </c>
      <c r="N15" s="74">
        <f t="shared" si="0"/>
        <v>11.845063116029731</v>
      </c>
      <c r="O15" s="74">
        <f t="shared" si="0"/>
        <v>9.88704607246226</v>
      </c>
      <c r="P15" s="74">
        <f t="shared" si="0"/>
        <v>6.6681220919920001</v>
      </c>
      <c r="Q15" s="74">
        <f t="shared" si="0"/>
        <v>6.6987565182510895</v>
      </c>
      <c r="R15" s="74">
        <f t="shared" si="0"/>
        <v>9.0383376923784127</v>
      </c>
      <c r="S15" s="74">
        <f t="shared" si="0"/>
        <v>12.218645360638108</v>
      </c>
      <c r="T15" s="74">
        <f t="shared" si="0"/>
        <v>11.304156586760513</v>
      </c>
      <c r="U15" s="74">
        <f t="shared" si="0"/>
        <v>17.626563074090466</v>
      </c>
      <c r="V15" s="74">
        <f t="shared" si="0"/>
        <v>9.8888732592488431</v>
      </c>
      <c r="W15" s="74">
        <f t="shared" si="0"/>
        <v>7.5926589465644208</v>
      </c>
      <c r="X15" s="74">
        <f t="shared" si="0"/>
        <v>12.499269378991599</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Suffolk</v>
      </c>
      <c r="G20" s="88"/>
      <c r="H20" s="89"/>
      <c r="I20" s="80">
        <f>IF(VLOOKUP($F20,PAY!$A$11:$AE$349,4,FALSE)="-",#N/A,VLOOKUP($F20,PAY!$A$11:$AE$349,4,FALSE))</f>
        <v>441.6</v>
      </c>
      <c r="J20" s="80">
        <f>IF(VLOOKUP($F20,PAY!$A$11:$AE$349,6,FALSE)="-",#N/A,VLOOKUP($F20,PAY!$A$11:$AE$349,6,FALSE))</f>
        <v>439.4</v>
      </c>
      <c r="K20" s="80">
        <f>IF(VLOOKUP($F20,PAY!$A$11:$AE$349,8,FALSE)="-",#N/A,VLOOKUP($F20,PAY!$A$11:$AE$349,8,FALSE))</f>
        <v>460</v>
      </c>
      <c r="L20" s="80">
        <f>IF(VLOOKUP($F20,PAY!$A$11:$AE$349,10,FALSE)="-",#N/A,VLOOKUP($F20,PAY!$A$11:$AE$349,10,FALSE))</f>
        <v>465.1</v>
      </c>
      <c r="M20" s="80">
        <f>IF(VLOOKUP($F20,PAY!$A$11:$AE$349,12,FALSE)="-",#N/A,VLOOKUP($F20,PAY!$A$11:$AE$349,12,FALSE))</f>
        <v>455.3</v>
      </c>
      <c r="N20" s="80">
        <f>IF(VLOOKUP($F20,PAY!$A$11:$AE$349,14,FALSE)="-",#N/A,VLOOKUP($F20,PAY!$A$11:$AE$349,14,FALSE))</f>
        <v>463.1</v>
      </c>
      <c r="O20" s="80">
        <f>IF(VLOOKUP($F20,PAY!$A$11:$AE$349,16,FALSE)="-",#N/A,VLOOKUP($F20,PAY!$A$11:$AE$349,16,FALSE))</f>
        <v>467.1</v>
      </c>
      <c r="P20" s="80">
        <f>IF(VLOOKUP($F20,PAY!$A$11:$AE$349,18,FALSE)="-",#N/A,VLOOKUP($F20,PAY!$A$11:$AE$349,18,FALSE))</f>
        <v>479.1</v>
      </c>
      <c r="Q20" s="80">
        <f>IF(VLOOKUP($F20,PAY!$A$11:$AE$349,20,FALSE)="-",#N/A,VLOOKUP($F20,PAY!$A$11:$AE$349,20,FALSE))</f>
        <v>494.6</v>
      </c>
      <c r="R20" s="80">
        <f>IF(VLOOKUP($F20,PAY!$A$11:$AE$349,22,FALSE)="-",#N/A,VLOOKUP($F20,PAY!$A$11:$AE$349,22,FALSE))</f>
        <v>501.5</v>
      </c>
      <c r="S20" s="80">
        <f>IF(VLOOKUP($F20,PAY!$A$11:$AE$349,24,FALSE)="-",#N/A,VLOOKUP($F20,PAY!$A$11:$AE$349,24,FALSE))</f>
        <v>523.20000000000005</v>
      </c>
      <c r="T20" s="80">
        <f>IF(VLOOKUP($F20,PAY!$A$11:$AE$349,26,FALSE)="-",#N/A,VLOOKUP($F20,PAY!$A$11:$AE$349,26,FALSE))</f>
        <v>544.9</v>
      </c>
      <c r="U20" s="80">
        <f>IF(VLOOKUP($F20,PAY!$A$11:$AE$349,28,FALSE)="-",#N/A,VLOOKUP($F20,PAY!$A$11:$AE$349,28,FALSE))</f>
        <v>527.20000000000005</v>
      </c>
      <c r="V20" s="80">
        <f>IF(VLOOKUP($F20,PAY!$A$11:$AE$349,30,FALSE)="-",#N/A,VLOOKUP($F20,PAY!$A$11:$AE$349,30,FALSE))</f>
        <v>554.70000000000005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Suffolk to Rural as a Region</v>
      </c>
      <c r="G23" s="102"/>
      <c r="H23" s="103"/>
      <c r="I23" s="74">
        <f>100*((I20-I21)/I21)</f>
        <v>1.9879320828850813</v>
      </c>
      <c r="J23" s="74">
        <f t="shared" ref="J23:V23" si="2">100*((J20-J21)/J21)</f>
        <v>0.56645877438918935</v>
      </c>
      <c r="K23" s="74">
        <f t="shared" si="2"/>
        <v>2.6527574157718896</v>
      </c>
      <c r="L23" s="74">
        <f t="shared" si="2"/>
        <v>3.2057547975372138</v>
      </c>
      <c r="M23" s="74">
        <f t="shared" si="2"/>
        <v>1.2512442929347252E-2</v>
      </c>
      <c r="N23" s="74">
        <f t="shared" si="2"/>
        <v>-1.557777134017402E-2</v>
      </c>
      <c r="O23" s="74">
        <f t="shared" si="2"/>
        <v>-0.78642985045733327</v>
      </c>
      <c r="P23" s="74">
        <f t="shared" si="2"/>
        <v>0.9010714219067002</v>
      </c>
      <c r="Q23" s="74">
        <f t="shared" si="2"/>
        <v>1.0455376515098551</v>
      </c>
      <c r="R23" s="74">
        <f t="shared" si="2"/>
        <v>-0.50727640285779274</v>
      </c>
      <c r="S23" s="74">
        <f t="shared" si="2"/>
        <v>1.7056674624077708</v>
      </c>
      <c r="T23" s="74">
        <f t="shared" si="2"/>
        <v>2.0987849843968585</v>
      </c>
      <c r="U23" s="74">
        <f t="shared" si="2"/>
        <v>-0.7246409692129212</v>
      </c>
      <c r="V23" s="74">
        <f t="shared" si="2"/>
        <v>-1.6932468702691286</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Suffolk</v>
      </c>
      <c r="G28" s="88"/>
      <c r="H28" s="89"/>
      <c r="I28" s="76">
        <f>VLOOKUP($F28,EMPLOYMENT!$A$6:$BW$345,6,FALSE)</f>
        <v>77</v>
      </c>
      <c r="J28" s="77">
        <f>VLOOKUP($F28,EMPLOYMENT!$A$6:$BW$345,10,FALSE)</f>
        <v>77.099999999999994</v>
      </c>
      <c r="K28" s="77">
        <f>VLOOKUP($F28,EMPLOYMENT!$A$6:$BW$345,14,FALSE)</f>
        <v>75.3</v>
      </c>
      <c r="L28" s="77">
        <f>VLOOKUP($F28,EMPLOYMENT!$A$6:$BW$345,18,FALSE)</f>
        <v>76.8</v>
      </c>
      <c r="M28" s="77">
        <f>VLOOKUP($F28,EMPLOYMENT!$A$6:$BW$345,22,FALSE)</f>
        <v>77.8</v>
      </c>
      <c r="N28" s="77">
        <f>VLOOKUP($F28,EMPLOYMENT!$A$6:$BW$345,26,FALSE)</f>
        <v>75.7</v>
      </c>
      <c r="O28" s="77">
        <f>VLOOKUP($F28,EMPLOYMENT!$A$6:$BW$345,30,FALSE)</f>
        <v>73.900000000000006</v>
      </c>
      <c r="P28" s="77">
        <f>VLOOKUP($F28,EMPLOYMENT!$A$6:$BW$345,34,FALSE)</f>
        <v>76.099999999999994</v>
      </c>
      <c r="Q28" s="77">
        <f>VLOOKUP($F28,EMPLOYMENT!$A$6:$BW$345,38,FALSE)</f>
        <v>76.900000000000006</v>
      </c>
      <c r="R28" s="77">
        <f>VLOOKUP($F28,EMPLOYMENT!$A$6:$BW$345,42,FALSE)</f>
        <v>75.7</v>
      </c>
      <c r="S28" s="77">
        <f>VLOOKUP($F28,EMPLOYMENT!$A$6:$BW$345,46,FALSE)</f>
        <v>75.5</v>
      </c>
      <c r="T28" s="77">
        <f>VLOOKUP($F28,EMPLOYMENT!$A$6:$BW$345,50,FALSE)</f>
        <v>76.599999999999994</v>
      </c>
      <c r="U28" s="77">
        <f>VLOOKUP($F28,EMPLOYMENT!$A$6:$BW$345,54,FALSE)</f>
        <v>77.099999999999994</v>
      </c>
      <c r="V28" s="77">
        <f>VLOOKUP($F28,EMPLOYMENT!$A$6:$BW$345,58,FALSE)</f>
        <v>77.400000000000006</v>
      </c>
      <c r="W28" s="77">
        <f>VLOOKUP($F28,EMPLOYMENT!$A$6:$BW$345,62,FALSE)</f>
        <v>78.5</v>
      </c>
      <c r="X28" s="77">
        <f>VLOOKUP($F28,EMPLOYMENT!$A$6:$BW$345,66,FALSE)</f>
        <v>78.3</v>
      </c>
      <c r="Y28" s="77">
        <f>VLOOKUP($F28,EMPLOYMENT!$A$6:$BW$345,70,FALSE)</f>
        <v>76.5</v>
      </c>
      <c r="Z28" s="77">
        <f>VLOOKUP($F28,EMPLOYMENT!$A$6:$BW$345,74,FALSE)</f>
        <v>78</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Suffolk to Rural as a Region</v>
      </c>
      <c r="G31" s="102"/>
      <c r="H31" s="103"/>
      <c r="I31" s="74">
        <f>(I28-I29)</f>
        <v>0.88865808059826179</v>
      </c>
      <c r="J31" s="74">
        <f t="shared" ref="J31:Z31" si="4">(J28-J29)</f>
        <v>0.78702453331703737</v>
      </c>
      <c r="K31" s="74">
        <f t="shared" si="4"/>
        <v>-0.57318889948676599</v>
      </c>
      <c r="L31" s="74">
        <f t="shared" si="4"/>
        <v>1.1595316973721594</v>
      </c>
      <c r="M31" s="74">
        <f t="shared" si="4"/>
        <v>2.0644756266682549</v>
      </c>
      <c r="N31" s="74">
        <f t="shared" si="4"/>
        <v>1.1904601571268216</v>
      </c>
      <c r="O31" s="74">
        <f t="shared" si="4"/>
        <v>0.35286686103013665</v>
      </c>
      <c r="P31" s="74">
        <f t="shared" si="4"/>
        <v>2.3657045967223809</v>
      </c>
      <c r="Q31" s="74">
        <f t="shared" si="4"/>
        <v>2.8668425245374323</v>
      </c>
      <c r="R31" s="74">
        <f t="shared" si="4"/>
        <v>0.95552507009979593</v>
      </c>
      <c r="S31" s="74">
        <f t="shared" si="4"/>
        <v>-0.60886034007560852</v>
      </c>
      <c r="T31" s="74">
        <f t="shared" si="4"/>
        <v>-0.59053197560902504</v>
      </c>
      <c r="U31" s="74">
        <f t="shared" si="4"/>
        <v>0.12836751829195236</v>
      </c>
      <c r="V31" s="74">
        <f t="shared" si="4"/>
        <v>-0.63278688524589199</v>
      </c>
      <c r="W31" s="74">
        <f t="shared" si="4"/>
        <v>0.45184310658585503</v>
      </c>
      <c r="X31" s="74">
        <f t="shared" si="4"/>
        <v>-0.29129937895670821</v>
      </c>
      <c r="Y31" s="74">
        <f t="shared" si="4"/>
        <v>-0.51434629612920446</v>
      </c>
      <c r="Z31" s="74">
        <f t="shared" si="4"/>
        <v>1.8442419221209576</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Suffolk</v>
      </c>
      <c r="G36" s="88" t="str">
        <f>IFERROR(VLOOKUP(F36,GDHI!B338:C574,2,FALSE),VLOOKUP(F36,GDHI!C3:C336,1,FALSE))</f>
        <v/>
      </c>
      <c r="H36" s="89" t="str">
        <f>IF(F36=G36,"",G36)</f>
        <v/>
      </c>
      <c r="I36" s="83">
        <f>IFERROR(VLOOKUP($F36,GDHI!$B$338:$U$574,GDHI!G$578,FALSE),VLOOKUP($F36,GDHI!$C$3:$U$336,GDHI!F$578,FALSE))</f>
        <v>13217</v>
      </c>
      <c r="J36" s="84">
        <f>IFERROR(VLOOKUP($F36,GDHI!$B$338:$U$574,GDHI!H$578,FALSE),VLOOKUP($F36,GDHI!$C$3:$U$336,GDHI!G$578,FALSE))</f>
        <v>13723</v>
      </c>
      <c r="K36" s="84">
        <f>IFERROR(VLOOKUP($F36,GDHI!$B$338:$U$574,GDHI!I$578,FALSE),VLOOKUP($F36,GDHI!$C$3:$U$336,GDHI!H$578,FALSE))</f>
        <v>14046</v>
      </c>
      <c r="L36" s="84">
        <f>IFERROR(VLOOKUP($F36,GDHI!$B$338:$U$574,GDHI!J$578,FALSE),VLOOKUP($F36,GDHI!$C$3:$U$336,GDHI!I$578,FALSE))</f>
        <v>14587</v>
      </c>
      <c r="M36" s="84">
        <f>IFERROR(VLOOKUP($F36,GDHI!$B$338:$U$574,GDHI!K$578,FALSE),VLOOKUP($F36,GDHI!$C$3:$U$336,GDHI!J$578,FALSE))</f>
        <v>15427</v>
      </c>
      <c r="N36" s="84">
        <f>IFERROR(VLOOKUP($F36,GDHI!$B$338:$U$574,GDHI!L$578,FALSE),VLOOKUP($F36,GDHI!$C$3:$U$336,GDHI!K$578,FALSE))</f>
        <v>15899</v>
      </c>
      <c r="O36" s="84">
        <f>IFERROR(VLOOKUP($F36,GDHI!$B$338:$U$574,GDHI!M$578,FALSE),VLOOKUP($F36,GDHI!$C$3:$U$336,GDHI!L$578,FALSE))</f>
        <v>16031</v>
      </c>
      <c r="P36" s="84">
        <f>IFERROR(VLOOKUP($F36,GDHI!$B$338:$U$574,GDHI!N$578,FALSE),VLOOKUP($F36,GDHI!$C$3:$U$336,GDHI!M$578,FALSE))</f>
        <v>16121</v>
      </c>
      <c r="Q36" s="84">
        <f>IFERROR(VLOOKUP($F36,GDHI!$B$338:$U$574,GDHI!O$578,FALSE),VLOOKUP($F36,GDHI!$C$3:$U$336,GDHI!N$578,FALSE))</f>
        <v>16783</v>
      </c>
      <c r="R36" s="84">
        <f>IFERROR(VLOOKUP($F36,GDHI!$B$338:$U$574,GDHI!P$578,FALSE),VLOOKUP($F36,GDHI!$C$3:$U$336,GDHI!O$578,FALSE))</f>
        <v>17220</v>
      </c>
      <c r="S36" s="84">
        <f>IFERROR(VLOOKUP($F36,GDHI!$B$338:$U$574,GDHI!Q$578,FALSE),VLOOKUP($F36,GDHI!$C$3:$U$336,GDHI!P$578,FALSE))</f>
        <v>17614</v>
      </c>
      <c r="T36" s="84">
        <f>IFERROR(VLOOKUP($F36,GDHI!$B$338:$U$574,GDHI!R$578,FALSE),VLOOKUP($F36,GDHI!$C$3:$U$336,GDHI!Q$578,FALSE))</f>
        <v>18629</v>
      </c>
      <c r="U36" s="84">
        <f>IFERROR(VLOOKUP($F36,GDHI!$B$338:$U$574,GDHI!S$578,FALSE),VLOOKUP($F36,GDHI!$C$3:$U$336,GDHI!R$578,FALSE))</f>
        <v>18762</v>
      </c>
      <c r="V36" s="84">
        <f>IFERROR(VLOOKUP($F36,GDHI!$B$338:$U$574,GDHI!T$578,FALSE),VLOOKUP($F36,GDHI!$C$3:$U$336,GDHI!S$578,FALSE))</f>
        <v>19054</v>
      </c>
      <c r="W36" s="84">
        <f>IFERROR(VLOOKUP($F36,GDHI!$B$338:$U$574,GDHI!U$578,FALSE),VLOOKUP($F36,GDHI!$C$3:$U$336,GDHI!T$578,FALSE))</f>
        <v>19911</v>
      </c>
      <c r="X36" s="84">
        <f>IFERROR(VLOOKUP($F36,GDHI!$B$338:$U$574,GDHI!V$578,FALSE),VLOOKUP($F36,GDHI!$C$3:$U$336,GDHI!U$578,FALSE))</f>
        <v>20323</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Suffolk to Rural as a Region</v>
      </c>
      <c r="G39" s="102"/>
      <c r="H39" s="103"/>
      <c r="I39" s="74">
        <f>100*((I36-I37)/I37)</f>
        <v>-10.146503960025834</v>
      </c>
      <c r="J39" s="74">
        <f t="shared" ref="J39:X39" si="6">100*((J36-J37)/J37)</f>
        <v>-10.549468797941467</v>
      </c>
      <c r="K39" s="74">
        <f t="shared" si="6"/>
        <v>-11.79450835095777</v>
      </c>
      <c r="L39" s="74">
        <f t="shared" si="6"/>
        <v>-11.957733089894791</v>
      </c>
      <c r="M39" s="74">
        <f t="shared" si="6"/>
        <v>-9.5899528577996627</v>
      </c>
      <c r="N39" s="74">
        <f t="shared" si="6"/>
        <v>-8.0606221237019078</v>
      </c>
      <c r="O39" s="74">
        <f t="shared" si="6"/>
        <v>-8.4357076560603588</v>
      </c>
      <c r="P39" s="74">
        <f t="shared" si="6"/>
        <v>-9.4328265574463384</v>
      </c>
      <c r="Q39" s="74">
        <f t="shared" si="6"/>
        <v>-8.6209645742020466</v>
      </c>
      <c r="R39" s="74">
        <f t="shared" si="6"/>
        <v>-8.7630904541472248</v>
      </c>
      <c r="S39" s="74">
        <f t="shared" si="6"/>
        <v>-9.1876285470705525</v>
      </c>
      <c r="T39" s="74">
        <f t="shared" si="6"/>
        <v>-8.9418575014751145</v>
      </c>
      <c r="U39" s="74">
        <f t="shared" si="6"/>
        <v>-9.0323072198890451</v>
      </c>
      <c r="V39" s="74">
        <f t="shared" si="6"/>
        <v>-9.1173078659315969</v>
      </c>
      <c r="W39" s="74">
        <f t="shared" si="6"/>
        <v>-8.8402686407393478</v>
      </c>
      <c r="X39" s="74">
        <f t="shared" si="6"/>
        <v>-8.7227465966162203</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Suffolk</v>
      </c>
      <c r="G44" s="88"/>
      <c r="H44" s="89"/>
      <c r="I44" s="76">
        <f>VLOOKUP($F44,'LOW PAID'!$A$9:$N$444,6,FALSE)</f>
        <v>25.9</v>
      </c>
      <c r="J44" s="77">
        <f>VLOOKUP($F44,'LOW PAID'!$P$9:$W$444,6,FALSE)</f>
        <v>25.8</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Suffolk to Rural as a Region</v>
      </c>
      <c r="G47" s="102"/>
      <c r="H47" s="103"/>
      <c r="I47" s="74">
        <f>(I44-I45)</f>
        <v>0.7061253217868817</v>
      </c>
      <c r="J47" s="74">
        <f>(J44-J45)</f>
        <v>0.11388349096994688</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Suffolk</v>
      </c>
      <c r="G52" s="88"/>
      <c r="H52" s="89"/>
      <c r="I52" s="76">
        <f>VLOOKUP($F52,INACTIVITY!$A$6:$BW$345,6,FALSE)</f>
        <v>21.2</v>
      </c>
      <c r="J52" s="77">
        <f>VLOOKUP($F52,INACTIVITY!$A$6:$BW$345,10,FALSE)</f>
        <v>20.2</v>
      </c>
      <c r="K52" s="77">
        <f>VLOOKUP($F52,INACTIVITY!$A$6:$BW$345,14,FALSE)</f>
        <v>20.9</v>
      </c>
      <c r="L52" s="77">
        <f>VLOOKUP($F52,INACTIVITY!$A$6:$BW$345,18,FALSE)</f>
        <v>20.399999999999999</v>
      </c>
      <c r="M52" s="77">
        <f>VLOOKUP($F52,INACTIVITY!$A$6:$BW$345,22,FALSE)</f>
        <v>18.600000000000001</v>
      </c>
      <c r="N52" s="77">
        <f>VLOOKUP($F52,INACTIVITY!$A$6:$BW$345,26,FALSE)</f>
        <v>19.7</v>
      </c>
      <c r="O52" s="77">
        <f>VLOOKUP($F52,INACTIVITY!$A$6:$BW$345,30,FALSE)</f>
        <v>21.1</v>
      </c>
      <c r="P52" s="77">
        <f>VLOOKUP($F52,INACTIVITY!$A$6:$BW$345,34,FALSE)</f>
        <v>19.399999999999999</v>
      </c>
      <c r="Q52" s="77">
        <f>VLOOKUP($F52,INACTIVITY!$A$6:$BW$345,38,FALSE)</f>
        <v>17.8</v>
      </c>
      <c r="R52" s="77">
        <f>VLOOKUP($F52,INACTIVITY!$A$6:$BW$345,42,FALSE)</f>
        <v>19.100000000000001</v>
      </c>
      <c r="S52" s="77">
        <f>VLOOKUP($F52,INACTIVITY!$A$6:$BW$345,46,FALSE)</f>
        <v>20.2</v>
      </c>
      <c r="T52" s="77">
        <f>VLOOKUP($F52,INACTIVITY!$A$6:$BW$345,50,FALSE)</f>
        <v>20</v>
      </c>
      <c r="U52" s="77">
        <f>VLOOKUP($F52,INACTIVITY!$A$6:$BW$345,54,FALSE)</f>
        <v>20.100000000000001</v>
      </c>
      <c r="V52" s="77">
        <f>VLOOKUP($F52,INACTIVITY!$A$6:$BW$345,58,FALSE)</f>
        <v>19.100000000000001</v>
      </c>
      <c r="W52" s="77">
        <f>VLOOKUP($F52,INACTIVITY!$A$6:$BW$345,62,FALSE)</f>
        <v>18.399999999999999</v>
      </c>
      <c r="X52" s="77">
        <f>VLOOKUP($F52,INACTIVITY!$A$6:$BW$345,66,FALSE)</f>
        <v>19.8</v>
      </c>
      <c r="Y52" s="77">
        <f>VLOOKUP($F52,INACTIVITY!$A$6:$BW$345,70,FALSE)</f>
        <v>20</v>
      </c>
      <c r="Z52" s="77">
        <f>VLOOKUP($F52,INACTIVITY!$A$6:$BW$345,74,FALSE)</f>
        <v>19.5</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Suffolk to Rural as a Region</v>
      </c>
      <c r="G55" s="102"/>
      <c r="H55" s="103"/>
      <c r="I55" s="74">
        <f>(I52-I53)</f>
        <v>-0.19564457161023796</v>
      </c>
      <c r="J55" s="74">
        <f t="shared" ref="J55:Z55" si="10">(J52-J53)</f>
        <v>-0.80852272727272734</v>
      </c>
      <c r="K55" s="74">
        <f t="shared" si="10"/>
        <v>3.7534606541221649E-2</v>
      </c>
      <c r="L55" s="74">
        <f t="shared" si="10"/>
        <v>-0.91406533153664071</v>
      </c>
      <c r="M55" s="74">
        <f t="shared" si="10"/>
        <v>-2.2350023108920034</v>
      </c>
      <c r="N55" s="74">
        <f t="shared" si="10"/>
        <v>-1.2331437579204412</v>
      </c>
      <c r="O55" s="74">
        <f t="shared" si="10"/>
        <v>-0.59193712750517236</v>
      </c>
      <c r="P55" s="74">
        <f t="shared" si="10"/>
        <v>-2.0942457807534502</v>
      </c>
      <c r="Q55" s="74">
        <f t="shared" si="10"/>
        <v>-3.3825487944890931</v>
      </c>
      <c r="R55" s="74">
        <f t="shared" si="10"/>
        <v>-1.6745930974387697</v>
      </c>
      <c r="S55" s="74">
        <f t="shared" si="10"/>
        <v>-7.3210455972400723E-2</v>
      </c>
      <c r="T55" s="74">
        <f t="shared" si="10"/>
        <v>0.30380531659304211</v>
      </c>
      <c r="U55" s="74">
        <f t="shared" si="10"/>
        <v>0.2475706529305306</v>
      </c>
      <c r="V55" s="74">
        <f t="shared" si="10"/>
        <v>-0.15327733428037504</v>
      </c>
      <c r="W55" s="74">
        <f t="shared" si="10"/>
        <v>-0.77695600918285024</v>
      </c>
      <c r="X55" s="74">
        <f t="shared" si="10"/>
        <v>0.94793505063507055</v>
      </c>
      <c r="Y55" s="74">
        <f t="shared" si="10"/>
        <v>0.22741727812853796</v>
      </c>
      <c r="Z55" s="74">
        <f t="shared" si="10"/>
        <v>-1.5851797756300705</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Suffolk</v>
      </c>
      <c r="G60" s="88"/>
      <c r="H60" s="89"/>
      <c r="I60" s="76">
        <f>VLOOKUP($F60,DISABILITY!$A$718:$I$1052,DISABILITY!B$1053,FALSE)</f>
        <v>29.5</v>
      </c>
      <c r="J60" s="77">
        <f>VLOOKUP($F60,DISABILITY!$A$718:$I$1052,DISABILITY!C$1053,FALSE)</f>
        <v>31.199999999999996</v>
      </c>
      <c r="K60" s="77">
        <f>VLOOKUP($F60,DISABILITY!$A$718:$I$1052,DISABILITY!D$1053,FALSE)</f>
        <v>23.900000000000006</v>
      </c>
      <c r="L60" s="77">
        <f>VLOOKUP($F60,DISABILITY!$A$718:$I$1052,DISABILITY!E$1053,FALSE)</f>
        <v>27.900000000000006</v>
      </c>
      <c r="M60" s="77">
        <f>VLOOKUP($F60,DISABILITY!$A$718:$I$1052,DISABILITY!F$1053,FALSE)</f>
        <v>19.099999999999994</v>
      </c>
      <c r="N60" s="77">
        <f>VLOOKUP($F60,DISABILITY!$A$718:$I$1052,DISABILITY!G$1053,FALSE)</f>
        <v>24.300000000000004</v>
      </c>
      <c r="O60" s="77">
        <f>VLOOKUP($F60,DISABILITY!$A$718:$I$1052,DISABILITY!H$1053,FALSE)</f>
        <v>27.899999999999991</v>
      </c>
      <c r="P60" s="77">
        <f>VLOOKUP($F60,DISABILITY!$A$718:$I$1052,DISABILITY!I$1053,FALSE)</f>
        <v>26.799999999999997</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Suffolk to Rural as a Region</v>
      </c>
      <c r="G63" s="102"/>
      <c r="H63" s="103"/>
      <c r="I63" s="74">
        <f>(I60-I61)</f>
        <v>2.0798434593527517</v>
      </c>
      <c r="J63" s="74">
        <f t="shared" ref="J63:P63" si="12">(J60-J61)</f>
        <v>3.8809555929488084</v>
      </c>
      <c r="K63" s="74">
        <f t="shared" si="12"/>
        <v>-4.2191283614981998</v>
      </c>
      <c r="L63" s="74">
        <f t="shared" si="12"/>
        <v>1.9090654610033297</v>
      </c>
      <c r="M63" s="74">
        <f t="shared" si="12"/>
        <v>-6.3752258186661237</v>
      </c>
      <c r="N63" s="74">
        <f t="shared" si="12"/>
        <v>-1.2312476854419785</v>
      </c>
      <c r="O63" s="74">
        <f t="shared" si="12"/>
        <v>4.1027777120030464</v>
      </c>
      <c r="P63" s="74">
        <f t="shared" si="12"/>
        <v>1.4458220696578223</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Suffolk</v>
      </c>
      <c r="G68" s="88"/>
      <c r="H68" s="89"/>
      <c r="I68" s="76">
        <f>VLOOKUP($F68,'WORKLESS HOUSEHOLDS'!$DW$4:$EC$397,7,FALSE)</f>
        <v>9.4024396920538358</v>
      </c>
      <c r="J68" s="77">
        <f>VLOOKUP($F68,'WORKLESS HOUSEHOLDS'!$DN$4:$DT$397,7,FALSE)</f>
        <v>9.3142532019345143</v>
      </c>
      <c r="K68" s="77">
        <f>VLOOKUP($F68,'WORKLESS HOUSEHOLDS'!$DE$4:$DK$397,7,FALSE)</f>
        <v>11.074394476546361</v>
      </c>
      <c r="L68" s="77">
        <f>VLOOKUP($F68,'WORKLESS HOUSEHOLDS'!$CV$4:$DB$397,7,FALSE)</f>
        <v>12.025659083401571</v>
      </c>
      <c r="M68" s="77">
        <f>VLOOKUP($F68,'WORKLESS HOUSEHOLDS'!$CM$4:$CS$397,7,FALSE)</f>
        <v>12.419984864194653</v>
      </c>
      <c r="N68" s="77">
        <f>VLOOKUP($F68,'WORKLESS HOUSEHOLDS'!$CD$4:$CJ$397,7,FALSE)</f>
        <v>14.365847077197314</v>
      </c>
      <c r="O68" s="77" t="str">
        <f>VLOOKUP($F68,'WORKLESS HOUSEHOLDS'!$BU$4:$CA$397,7,FALSE)</f>
        <v>#</v>
      </c>
      <c r="P68" s="77">
        <f>VLOOKUP($F68,'WORKLESS HOUSEHOLDS'!$BL$4:$BR$397,7,FALSE)</f>
        <v>12.35901885006704</v>
      </c>
      <c r="Q68" s="77">
        <f>VLOOKUP($F68,'WORKLESS HOUSEHOLDS'!$BC$4:$BI$397,7,FALSE)</f>
        <v>11.865288053005319</v>
      </c>
      <c r="R68" s="77">
        <f>VLOOKUP($F68,'WORKLESS HOUSEHOLDS'!$AT$4:$AZ$397,7,FALSE)</f>
        <v>9.1107595641808334</v>
      </c>
      <c r="S68" s="77">
        <f>VLOOKUP($F68,'WORKLESS HOUSEHOLDS'!$AK$4:$AQ$397,7,FALSE)</f>
        <v>7.9823434755008345</v>
      </c>
      <c r="T68" s="77">
        <f>VLOOKUP($F68,'WORKLESS HOUSEHOLDS'!$AB$4:$AH$397,7,FALSE)</f>
        <v>7.3315407685375327</v>
      </c>
      <c r="U68" s="77">
        <f>VLOOKUP($F68,'WORKLESS HOUSEHOLDS'!$S$4:$Y$397,7,FALSE)</f>
        <v>9.0983936003319101</v>
      </c>
      <c r="V68" s="77">
        <f>VLOOKUP($F68,'WORKLESS HOUSEHOLDS'!$J$4:$P$397,7,FALSE)</f>
        <v>5.9598957773718713</v>
      </c>
      <c r="W68" s="77">
        <f>VLOOKUP($F68,'WORKLESS HOUSEHOLDS'!$B$4:$H$397,7,FALSE)</f>
        <v>5.468280721095069</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Suffolk to Rural as a Region</v>
      </c>
      <c r="G71" s="102"/>
      <c r="H71" s="103"/>
      <c r="I71" s="74">
        <f>(I68-I69)</f>
        <v>-0.60950617053285505</v>
      </c>
      <c r="J71" s="74">
        <f t="shared" ref="J71:W71" si="14">(J68-J69)</f>
        <v>-1.5969016355405099</v>
      </c>
      <c r="K71" s="74">
        <f t="shared" si="14"/>
        <v>0.78114874739051743</v>
      </c>
      <c r="L71" s="74">
        <f t="shared" si="14"/>
        <v>1.0596524220718386</v>
      </c>
      <c r="M71" s="74">
        <f t="shared" si="14"/>
        <v>0.72620568300617983</v>
      </c>
      <c r="N71" s="74">
        <f t="shared" si="14"/>
        <v>2.4647473979419328</v>
      </c>
      <c r="O71" s="74" t="e">
        <f t="shared" si="14"/>
        <v>#VALUE!</v>
      </c>
      <c r="P71" s="74">
        <f t="shared" si="14"/>
        <v>2.6675209642992019</v>
      </c>
      <c r="Q71" s="74">
        <f t="shared" si="14"/>
        <v>1.060109792606907</v>
      </c>
      <c r="R71" s="74">
        <f t="shared" si="14"/>
        <v>-1.5953367595487205</v>
      </c>
      <c r="S71" s="74">
        <f t="shared" si="14"/>
        <v>-2.1704013526480468</v>
      </c>
      <c r="T71" s="74">
        <f t="shared" si="14"/>
        <v>-2.5721274260952178</v>
      </c>
      <c r="U71" s="74">
        <f t="shared" si="14"/>
        <v>-1.6636565643475656</v>
      </c>
      <c r="V71" s="74">
        <f t="shared" si="14"/>
        <v>-3.9789726991677767</v>
      </c>
      <c r="W71" s="74">
        <f t="shared" si="14"/>
        <v>-4.8844207020891242</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Suffolk</v>
      </c>
      <c r="G76" s="88"/>
      <c r="H76" s="89"/>
      <c r="I76" s="76">
        <f>VLOOKUP($F76,'SKILLED EMPLOYMENT'!$A$1506:$BW$1841,6,FALSE)</f>
        <v>51.199999999999996</v>
      </c>
      <c r="J76" s="77">
        <f>VLOOKUP($F76,'SKILLED EMPLOYMENT'!$A$1506:$BW$1841,10,FALSE)</f>
        <v>49.800000000000004</v>
      </c>
      <c r="K76" s="77">
        <f>VLOOKUP($F76,'SKILLED EMPLOYMENT'!$A$1506:$BW$1841,14,FALSE)</f>
        <v>51.199999999999996</v>
      </c>
      <c r="L76" s="77">
        <f>VLOOKUP($F76,'SKILLED EMPLOYMENT'!$A$1506:$BW$1841,18,FALSE)</f>
        <v>50.900000000000006</v>
      </c>
      <c r="M76" s="77">
        <f>VLOOKUP($F76,'SKILLED EMPLOYMENT'!$A$1506:$BW$1841,22,FALSE)</f>
        <v>49.9</v>
      </c>
      <c r="N76" s="77">
        <f>VLOOKUP($F76,'SKILLED EMPLOYMENT'!$A$1506:$BW$1841,26,FALSE)</f>
        <v>51.1</v>
      </c>
      <c r="O76" s="77">
        <f>VLOOKUP($F76,'SKILLED EMPLOYMENT'!$A$1506:$BW$1841,30,FALSE)</f>
        <v>54</v>
      </c>
      <c r="P76" s="77">
        <f>VLOOKUP($F76,'SKILLED EMPLOYMENT'!$A$1506:$BW$1841,34,FALSE)</f>
        <v>54.099999999999994</v>
      </c>
      <c r="Q76" s="77">
        <f>VLOOKUP($F76,'SKILLED EMPLOYMENT'!$A$1506:$BW$1841,38,FALSE)</f>
        <v>52.5</v>
      </c>
      <c r="R76" s="77">
        <f>VLOOKUP($F76,'SKILLED EMPLOYMENT'!$A$1506:$BW$1841,42,FALSE)</f>
        <v>55.4</v>
      </c>
      <c r="S76" s="77">
        <f>VLOOKUP($F76,'SKILLED EMPLOYMENT'!$A$1506:$BW$1841,46,FALSE)</f>
        <v>51.2</v>
      </c>
      <c r="T76" s="77">
        <f>VLOOKUP($F76,'SKILLED EMPLOYMENT'!$A$1506:$BW$1841,50,FALSE)</f>
        <v>51.7</v>
      </c>
      <c r="U76" s="77">
        <f>VLOOKUP($F76,'SKILLED EMPLOYMENT'!$A$1506:$BW$1841,54,FALSE)</f>
        <v>52.1</v>
      </c>
      <c r="V76" s="77">
        <f>VLOOKUP($F76,'SKILLED EMPLOYMENT'!$A$1506:$BW$1841,58,FALSE)</f>
        <v>50.8</v>
      </c>
      <c r="W76" s="77">
        <f>VLOOKUP($F76,'SKILLED EMPLOYMENT'!$A$1506:$BW$1841,62,FALSE)</f>
        <v>53.5</v>
      </c>
      <c r="X76" s="77">
        <f>VLOOKUP($F76,'SKILLED EMPLOYMENT'!$A$1506:$BW$1841,66,FALSE)</f>
        <v>55.800000000000004</v>
      </c>
      <c r="Y76" s="77">
        <f>VLOOKUP($F76,'SKILLED EMPLOYMENT'!$A$1506:$BW$1841,70,FALSE)</f>
        <v>53.400000000000006</v>
      </c>
      <c r="Z76" s="77">
        <f>VLOOKUP($F76,'SKILLED EMPLOYMENT'!$A$1506:$BW$1841,74,FALSE)</f>
        <v>53.8</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Suffolk to Rural as a Region</v>
      </c>
      <c r="G79" s="102"/>
      <c r="H79" s="103"/>
      <c r="I79" s="74">
        <f>(I76-I77)</f>
        <v>-1.5000000000000071</v>
      </c>
      <c r="J79" s="74">
        <f t="shared" ref="J79:Z79" si="17">(J76-J77)</f>
        <v>-3.0999999999999943</v>
      </c>
      <c r="K79" s="74">
        <f t="shared" si="17"/>
        <v>-2.3000000000000043</v>
      </c>
      <c r="L79" s="74">
        <f t="shared" si="17"/>
        <v>-3.0999999999999943</v>
      </c>
      <c r="M79" s="74">
        <f t="shared" si="17"/>
        <v>-4.2000000000000028</v>
      </c>
      <c r="N79" s="74">
        <f t="shared" si="17"/>
        <v>-3.2999999999999972</v>
      </c>
      <c r="O79" s="74">
        <f t="shared" si="17"/>
        <v>-1.3999999999999986</v>
      </c>
      <c r="P79" s="74">
        <f t="shared" si="17"/>
        <v>-1.5000000000000071</v>
      </c>
      <c r="Q79" s="74">
        <f t="shared" si="17"/>
        <v>-2.8999999999999986</v>
      </c>
      <c r="R79" s="74">
        <f t="shared" si="17"/>
        <v>-0.80000000000000426</v>
      </c>
      <c r="S79" s="74">
        <f t="shared" si="17"/>
        <v>-5</v>
      </c>
      <c r="T79" s="74">
        <f t="shared" si="17"/>
        <v>-5.0999999999999943</v>
      </c>
      <c r="U79" s="74">
        <f t="shared" si="17"/>
        <v>-4.5</v>
      </c>
      <c r="V79" s="74">
        <f t="shared" si="17"/>
        <v>-6.3000000000000043</v>
      </c>
      <c r="W79" s="74">
        <f t="shared" si="17"/>
        <v>-4.2999999999999972</v>
      </c>
      <c r="X79" s="74">
        <f t="shared" si="17"/>
        <v>-2.9999999999999929</v>
      </c>
      <c r="Y79" s="74">
        <f t="shared" si="17"/>
        <v>-5.2999999999999972</v>
      </c>
      <c r="Z79" s="74">
        <f t="shared" si="17"/>
        <v>-4.6000000000000014</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ehDLLoFBwZs0/Za5hKQuTcw1GlIbrbVErRDGVYXoc6uxrycWSLBJ2ABY3aDAg4AaPj4V+Q9fEev/NSpilW22VA==" saltValue="BXPJHLU6xQUneW4D0B7Jt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2022-08-02T13:24:53Z</dcterms:modified>
</cp:coreProperties>
</file>