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8AFFB39B-2392-47D3-BA80-619041724DFF}" xr6:coauthVersionLast="47" xr6:coauthVersionMax="47" xr10:uidLastSave="{AAFA3D64-0F0D-4D96-B283-1BE3F7D191B8}"/>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<sst xmlns="http://schemas.openxmlformats.org/spreadsheetml/2006/main" count="8461" uniqueCount="1368">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</sst>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83</c:v>
                </c:pt>
                <c:pt idx="1">
                  <c:v>85</c:v>
                </c:pt>
                <c:pt idx="2">
                  <c:v>88.6</c:v>
                </c:pt>
                <c:pt idx="3">
                  <c:v>89.5</c:v>
                </c:pt>
                <c:pt idx="4">
                  <c:v>90</c:v>
                </c:pt>
                <c:pt idx="5">
                  <c:v>90.8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Ashford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7.5</c:v>
                </c:pt>
                <c:pt idx="4">
                  <c:v>44.8</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Ashford Full Fibre</c:v>
                </c:pt>
              </c:strCache>
            </c:strRef>
          </c:tx>
          <c:spPr>
            <a:noFill/>
            <a:ln w="38100">
              <a:solidFill>
                <a:schemeClr val="tx1"/>
              </a:solidFill>
            </a:ln>
            <a:effectLst/>
          </c:spPr>
          <c:invertIfNegative val="0"/>
          <c:val>
            <c:numRef>
              <c:f>Sheet1!$R$21:$V$21</c:f>
              <c:numCache>
                <c:formatCode>0.0</c:formatCode>
                <c:ptCount val="5"/>
                <c:pt idx="1">
                  <c:v>3.8</c:v>
                </c:pt>
                <c:pt idx="2">
                  <c:v>4.9000000000000004</c:v>
                </c:pt>
                <c:pt idx="3">
                  <c:v>7.5</c:v>
                </c:pt>
                <c:pt idx="4">
                  <c:v>11.9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Ashford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55.11</c:v>
                </c:pt>
                <c:pt idx="1">
                  <c:v>70.45</c:v>
                </c:pt>
                <c:pt idx="2">
                  <c:v>70.62</c:v>
                </c:pt>
                <c:pt idx="3">
                  <c:v>72.28</c:v>
                </c:pt>
                <c:pt idx="4">
                  <c:v>70.989999999999995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Ashford is very closely aligned to that of the rural position.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Ashford's gigabit availability from fixed broadband jumped from being 18% to only 1% below that seen for England overall from 2020 to 2021. Conversely the gap for full fibre increased from 2018 to 2021 from being 2% to 15% below the England situation.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281940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801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a:effectLst/>
              <a:latin typeface="Avenir Next LT Pro" panose="020B0504020202020204" pitchFamily="34" charset="0"/>
            </a:rPr>
            <a:t>The</a:t>
          </a:r>
          <a:r>
            <a:rPr lang="en-GB" baseline="0">
              <a:effectLst/>
              <a:latin typeface="Avenir Next LT Pro" panose="020B0504020202020204" pitchFamily="34" charset="0"/>
            </a:rPr>
            <a:t> situation for Ashford in this period of time lies somewhere between that of 'Rural as a Region' and England, albeit with a less pronounced step increase from 2017 to 2018.</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Ashford</v>
      </c>
      <c r="G12" s="12"/>
      <c r="H12" s="13"/>
      <c r="I12" s="14">
        <f>VLOOKUP(F12,Sheet2!B10:J468,4,FALSE)</f>
        <v>83</v>
      </c>
      <c r="J12" s="15">
        <f>VLOOKUP($F12,Sheet2!$B$10:$J$468,5,FALSE)</f>
        <v>85</v>
      </c>
      <c r="K12" s="15">
        <f>VLOOKUP($F12,Sheet2!$B$10:$J$468,6,FALSE)</f>
        <v>88.6</v>
      </c>
      <c r="L12" s="15">
        <f>VLOOKUP($F12,Sheet2!$B$10:$J$468,7,FALSE)</f>
        <v>89.5</v>
      </c>
      <c r="M12" s="15">
        <f>VLOOKUP($F12,Sheet2!$B$10:$J$468,8,FALSE)</f>
        <v>90</v>
      </c>
      <c r="N12" s="15">
        <f>VLOOKUP($F12,Sheet2!$B$10:$J$468,9,FALSE)</f>
        <v>90.8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Ashford to Rural as a Region</v>
      </c>
      <c r="G15" s="60"/>
      <c r="H15" s="61"/>
      <c r="I15" s="21">
        <f>((I12-I13))</f>
        <v>3.538461538461533</v>
      </c>
      <c r="J15" s="21">
        <f>((J12-J13))</f>
        <v>3.2967032967036403E-2</v>
      </c>
      <c r="K15" s="21">
        <f t="shared" ref="K15:N15" si="0">((K12-K13))</f>
        <v>0.15384615384616041</v>
      </c>
      <c r="L15" s="21">
        <f t="shared" si="0"/>
        <v>-0.54659090909089514</v>
      </c>
      <c r="M15" s="21">
        <f t="shared" si="0"/>
        <v>-1.2942528735632095</v>
      </c>
      <c r="N15" s="21">
        <f t="shared" si="0"/>
        <v>-0.81904761904763745</v>
      </c>
      <c r="O15" s="44"/>
      <c r="P15" s="41"/>
      <c r="Q15" s="41"/>
      <c r="R15" s="41"/>
      <c r="S15" s="41"/>
      <c r="T15" s="41"/>
    </row>
    <row r="16" spans="1:20" ht="51" customHeight="1" x14ac:dyDescent="0.3">
      <c r="B16" s="16"/>
      <c r="C16" s="16"/>
      <c r="D16" s="16"/>
      <c r="F16" s="46" t="str">
        <f>"% Gap - "&amp;F12&amp;" to England"</f>
        <v>% Gap - Ashford to England</v>
      </c>
      <c r="G16" s="47"/>
      <c r="H16" s="48"/>
      <c r="I16" s="21">
        <f>I12-I14</f>
        <v>-7</v>
      </c>
      <c r="J16" s="21">
        <f>J12-J14</f>
        <v>-7</v>
      </c>
      <c r="K16" s="21">
        <f t="shared" ref="K16:N16" si="1">K12-K14</f>
        <v>-5.4000000000000057</v>
      </c>
      <c r="L16" s="21">
        <f t="shared" si="1"/>
        <v>-5.5</v>
      </c>
      <c r="M16" s="21">
        <f t="shared" si="1"/>
        <v>-6</v>
      </c>
      <c r="N16" s="21">
        <f t="shared" si="1"/>
        <v>-5.2000000000000028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Ashford Gigabit availability</v>
      </c>
      <c r="G21" s="12"/>
      <c r="H21" s="13"/>
      <c r="I21" s="14"/>
      <c r="J21" s="15"/>
      <c r="K21" s="15"/>
      <c r="L21" s="15">
        <f>VLOOKUP(B4,Sheet2!AB9:AJ460,8,FALSE)</f>
        <v>7.5</v>
      </c>
      <c r="M21" s="34">
        <f>VLOOKUP(B4,Sheet2!AB9:AK460,9,FALSE)</f>
        <v>44.8</v>
      </c>
      <c r="N21" s="43"/>
      <c r="O21" s="11" t="str">
        <f>B4&amp;" Full Fibre"</f>
        <v>Ashford Full Fibre</v>
      </c>
      <c r="P21" s="12"/>
      <c r="Q21" s="13"/>
      <c r="R21" s="14"/>
      <c r="S21" s="15">
        <f>VLOOKUP(B4,Sheet2!BB9:BJ460,6,FALSE)</f>
        <v>3.8</v>
      </c>
      <c r="T21" s="15">
        <f>VLOOKUP(B4,Sheet2!BB9:BJ460,7,FALSE)</f>
        <v>4.9000000000000004</v>
      </c>
      <c r="U21" s="15">
        <f>VLOOKUP(B4,Sheet2!BB9:BJ460,8,FALSE)</f>
        <v>7.5</v>
      </c>
      <c r="V21" s="34">
        <f>VLOOKUP(B4,Sheet2!BB9:BJ460,9,FALSE)</f>
        <v>11.9</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Ashford Gigabit availability to Rural as a Region</v>
      </c>
      <c r="G24" s="60"/>
      <c r="H24" s="61"/>
      <c r="I24" s="21"/>
      <c r="J24" s="21"/>
      <c r="K24" s="21"/>
      <c r="L24" s="21">
        <f>((L21-L22))</f>
        <v>-5.1114942528735643</v>
      </c>
      <c r="M24" s="37">
        <f>((M21-M22))</f>
        <v>23.579761904761899</v>
      </c>
      <c r="N24" s="44"/>
      <c r="O24" s="59" t="str">
        <f>"% Gap - "&amp;O21&amp;" to Rural as a Region"</f>
        <v>% Gap - Ashford Full Fibre to Rural as a Region</v>
      </c>
      <c r="P24" s="60"/>
      <c r="Q24" s="61"/>
      <c r="R24" s="21"/>
      <c r="S24" s="21">
        <f t="shared" ref="S24:T24" si="3">((S21-S22))</f>
        <v>-1.4153846153846148</v>
      </c>
      <c r="T24" s="21">
        <f t="shared" si="3"/>
        <v>-2.5386363636363631</v>
      </c>
      <c r="U24" s="21">
        <f>((U21-U22))</f>
        <v>-4.7528735632183938</v>
      </c>
      <c r="V24" s="37">
        <f>((V21-V22))</f>
        <v>-8.0642857142857149</v>
      </c>
      <c r="W24" s="45"/>
    </row>
    <row r="25" spans="1:23" ht="51" customHeight="1" x14ac:dyDescent="0.3">
      <c r="B25" s="16"/>
      <c r="C25" s="16"/>
      <c r="D25" s="16"/>
      <c r="F25" s="46" t="str">
        <f>"% Gap - "&amp;F21&amp;" to England"</f>
        <v>% Gap - Ashford Gigabit availability to England</v>
      </c>
      <c r="G25" s="47"/>
      <c r="H25" s="48"/>
      <c r="I25" s="21"/>
      <c r="J25" s="21"/>
      <c r="K25" s="21"/>
      <c r="L25" s="21">
        <f>L21-L23</f>
        <v>-17.5</v>
      </c>
      <c r="M25" s="21">
        <f>M21-M23</f>
        <v>-1.2000000000000028</v>
      </c>
      <c r="N25" s="44"/>
      <c r="O25" s="46" t="str">
        <f>"% Gap - "&amp;O21&amp;" to England"</f>
        <v>% Gap - Ashford Full Fibre to England</v>
      </c>
      <c r="P25" s="47"/>
      <c r="Q25" s="48"/>
      <c r="R25" s="21"/>
      <c r="S25" s="21">
        <f>S21-S23</f>
        <v>-2.2000000000000002</v>
      </c>
      <c r="T25" s="21">
        <f t="shared" ref="T25:V25" si="4">T21-T23</f>
        <v>-5.0999999999999996</v>
      </c>
      <c r="U25" s="21">
        <f t="shared" si="4"/>
        <v>-8.5</v>
      </c>
      <c r="V25" s="21">
        <f t="shared" si="4"/>
        <v>-15.1</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Ashford</v>
      </c>
      <c r="G30" s="12"/>
      <c r="H30" s="13"/>
      <c r="I30" s="14">
        <f>VLOOKUP(F30,Sheet2!BL9:BT460,5,FALSE)</f>
        <v>55.11</v>
      </c>
      <c r="J30" s="15">
        <f>VLOOKUP($F30,Sheet2!$BL9:$BT460,6,FALSE)</f>
        <v>70.45</v>
      </c>
      <c r="K30" s="15">
        <f>VLOOKUP($F30,Sheet2!$BL9:$BT460,7,FALSE)</f>
        <v>70.62</v>
      </c>
      <c r="L30" s="15">
        <f>VLOOKUP($F30,Sheet2!$BL9:$BT460,8,FALSE)</f>
        <v>72.28</v>
      </c>
      <c r="M30" s="15">
        <f>VLOOKUP($F30,Sheet2!$BL9:$BT460,9,FALSE)</f>
        <v>70.989999999999995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Ashford to Rural as a Region</v>
      </c>
      <c r="G33" s="60"/>
      <c r="H33" s="61"/>
      <c r="I33" s="21">
        <f>(I30-I31)</f>
        <v>25.158571428571435</v>
      </c>
      <c r="J33" s="21">
        <f>(J30-J31)</f>
        <v>11.467032967032971</v>
      </c>
      <c r="K33" s="21">
        <f t="shared" ref="K33:M33" si="6">(K30-K31)</f>
        <v>8.7292045454545288</v>
      </c>
      <c r="L33" s="21">
        <f t="shared" si="6"/>
        <v>9.0755172413793019</v>
      </c>
      <c r="M33" s="21">
        <f t="shared" si="6"/>
        <v>6.8210714285714147</v>
      </c>
      <c r="N33" s="44"/>
      <c r="O33" s="41"/>
      <c r="P33" s="41"/>
      <c r="Q33" s="41"/>
      <c r="R33" s="41"/>
      <c r="S33" s="41"/>
      <c r="T33" s="41"/>
    </row>
    <row r="34" spans="2:20" ht="51" customHeight="1" x14ac:dyDescent="0.3">
      <c r="B34" s="16"/>
      <c r="C34" s="16"/>
      <c r="D34" s="16"/>
      <c r="F34" s="46" t="str">
        <f>"% Gap - "&amp;F30&amp;" to England"</f>
        <v>% Gap - Ashford to England</v>
      </c>
      <c r="G34" s="47"/>
      <c r="H34" s="48"/>
      <c r="I34" s="21">
        <f>I30-I32</f>
        <v>-4.8900000000000006</v>
      </c>
      <c r="J34" s="21">
        <f>J30-J32</f>
        <v>-7.5499999999999972</v>
      </c>
      <c r="K34" s="21">
        <f t="shared" ref="K34:M34" si="7">K30-K32</f>
        <v>-10.379999999999995</v>
      </c>
      <c r="L34" s="21">
        <f t="shared" si="7"/>
        <v>-8.7199999999999989</v>
      </c>
      <c r="M34" s="21">
        <f t="shared" si="7"/>
        <v>-11.010000000000005</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fiJ2TUpCGZ7ZCcMQ9nI78bibMUCfHEJuLjiS9XNhoEboiWhfHak7PXsTDwtxyhBDNmpVO3IgiM/4n/aRKGNGw==" saltValue="NDlqfDb3TeMJ7lOd4m95H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Ashford</v>
      </c>
      <c r="CI6" s="31" t="e">
        <f>100000*VLOOKUP($CH6,$B$6:$P$472,CI$1,FALSE)/VLOOKUP($CH6,$BB$8:$BY$472,CI$1,FALSE)</f>
        <v>#DIV/0!</v>
      </c>
      <c r="CJ6" s="31" t="e">
        <f t="shared" ref="CJ6:CN6" si="0">100000*VLOOKUP($CH6,$B$6:$P$472,CJ$1,FALSE)/VLOOKUP($CH6,$BB$8:$BY$472,CJ$1,FALSE)</f>
        <v>#DIV/0!</v>
      </c>
      <c r="CK6" s="31">
        <f t="shared" si="0"/>
        <v>2331578.9473684211</v>
      </c>
      <c r="CL6" s="31">
        <f t="shared" si="0"/>
        <v>1826530.6122448978</v>
      </c>
      <c r="CM6" s="31">
        <f t="shared" si="0"/>
        <v>1200000</v>
      </c>
      <c r="CN6" s="31">
        <f t="shared" si="0"/>
        <v>763025.21008403355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2022-10-04T13:23:23Z</dcterms:modified>
</cp:coreProperties>
</file>