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230" documentId="8_{3625AC58-0A3D-453E-A4D6-B0015D1D558B}" xr6:coauthVersionLast="47" xr6:coauthVersionMax="47" xr10:uidLastSave="{D30798FA-7BC6-49F8-9932-F46A4AC76A14}"/>
  <workbookProtection workbookAlgorithmName="SHA-512" workbookHashValue="i7jgjKI6k4KcmUKqsNhyeGklAK+hmYLOhYyWXd2UrJxi4rjVgukWHPM3hMs8n/Pqk5OqwgDJOMm2OommAe2uig==" workbookSaltValue="wH33bVbcIVXOOPcVEMWQm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8" l="1"/>
  <c r="B92" i="8"/>
  <c r="U91" i="8"/>
  <c r="E91" i="8"/>
  <c r="B91" i="8"/>
  <c r="B89" i="8"/>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l="1"/>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H355" i="16" s="1"/>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H346" i="16" s="1"/>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A328" i="16"/>
  <c r="E327" i="16"/>
  <c r="D327" i="16"/>
  <c r="A327" i="16"/>
  <c r="E326" i="16"/>
  <c r="D326" i="16"/>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H202" i="16" s="1"/>
  <c r="I202" i="16" s="1"/>
  <c r="A202" i="16"/>
  <c r="E201" i="16"/>
  <c r="D201" i="16"/>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H177" i="16" s="1"/>
  <c r="A177" i="16"/>
  <c r="E176" i="16"/>
  <c r="D176" i="16"/>
  <c r="A176" i="16"/>
  <c r="E175" i="16"/>
  <c r="D175" i="16"/>
  <c r="A175" i="16"/>
  <c r="E174" i="16"/>
  <c r="D174" i="16"/>
  <c r="A174" i="16"/>
  <c r="E173" i="16"/>
  <c r="D173" i="16"/>
  <c r="H173" i="16" s="1"/>
  <c r="A173" i="16"/>
  <c r="E172" i="16"/>
  <c r="D172" i="16"/>
  <c r="A172" i="16"/>
  <c r="E171" i="16"/>
  <c r="D171" i="16"/>
  <c r="H171" i="16" s="1"/>
  <c r="I171" i="16" s="1"/>
  <c r="A171" i="16"/>
  <c r="E170" i="16"/>
  <c r="D170" i="16"/>
  <c r="H170" i="16" s="1"/>
  <c r="A170" i="16"/>
  <c r="E169" i="16"/>
  <c r="D169" i="16"/>
  <c r="H169" i="16" s="1"/>
  <c r="A169" i="16"/>
  <c r="E168" i="16"/>
  <c r="D168" i="16"/>
  <c r="A168" i="16"/>
  <c r="E167" i="16"/>
  <c r="D167" i="16"/>
  <c r="H167" i="16" s="1"/>
  <c r="A167" i="16"/>
  <c r="E166" i="16"/>
  <c r="D166" i="16"/>
  <c r="A166" i="16"/>
  <c r="E165" i="16"/>
  <c r="D165" i="16"/>
  <c r="A165" i="16"/>
  <c r="E164" i="16"/>
  <c r="D164" i="16"/>
  <c r="A164" i="16"/>
  <c r="E163" i="16"/>
  <c r="D163" i="16"/>
  <c r="H163" i="16" s="1"/>
  <c r="I163" i="16" s="1"/>
  <c r="A163" i="16"/>
  <c r="E162" i="16"/>
  <c r="D162" i="16"/>
  <c r="H162" i="16" s="1"/>
  <c r="A162" i="16"/>
  <c r="E161" i="16"/>
  <c r="D161" i="16"/>
  <c r="A161" i="16"/>
  <c r="E160" i="16"/>
  <c r="D160" i="16"/>
  <c r="A160" i="16"/>
  <c r="E159" i="16"/>
  <c r="D159" i="16"/>
  <c r="A159" i="16"/>
  <c r="E158" i="16"/>
  <c r="D158" i="16"/>
  <c r="A158" i="16"/>
  <c r="E157" i="16"/>
  <c r="D157" i="16"/>
  <c r="A157" i="16"/>
  <c r="E156" i="16"/>
  <c r="D156" i="16"/>
  <c r="A156" i="16"/>
  <c r="E155" i="16"/>
  <c r="D155" i="16"/>
  <c r="H155" i="16" s="1"/>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H133" i="16" s="1"/>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B37" i="8"/>
  <c r="D49" i="8" s="1"/>
  <c r="B35" i="8"/>
  <c r="D48" i="8" s="1"/>
  <c r="B16" i="8"/>
  <c r="B11" i="8"/>
  <c r="B10" i="8"/>
  <c r="B9" i="8"/>
  <c r="J8" i="8"/>
  <c r="B8" i="8"/>
  <c r="B59" i="8"/>
  <c r="B1" i="8"/>
  <c r="B11" i="16" l="1"/>
  <c r="B34" i="16"/>
  <c r="B30" i="16"/>
  <c r="B38" i="16"/>
  <c r="B74" i="16"/>
  <c r="B98" i="16"/>
  <c r="B130" i="16"/>
  <c r="B162" i="16"/>
  <c r="B214" i="16"/>
  <c r="B78" i="16"/>
  <c r="B110" i="16"/>
  <c r="B146" i="16"/>
  <c r="B178" i="16"/>
  <c r="B194" i="16"/>
  <c r="B15" i="16"/>
  <c r="B21" i="16"/>
  <c r="B31" i="16"/>
  <c r="B50" i="16"/>
  <c r="B86" i="16"/>
  <c r="B122" i="16"/>
  <c r="B154" i="16"/>
  <c r="B186" i="16"/>
  <c r="B18" i="16"/>
  <c r="B24" i="16"/>
  <c r="B27" i="16"/>
  <c r="B35"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58" i="16"/>
  <c r="B114" i="16"/>
  <c r="B182" i="16"/>
  <c r="B66" i="16"/>
  <c r="B94" i="16"/>
  <c r="B138" i="16"/>
  <c r="B170" i="16"/>
  <c r="B198" i="16"/>
  <c r="B13" i="16"/>
  <c r="B16" i="16"/>
  <c r="B19" i="16"/>
  <c r="B25" i="16"/>
  <c r="B36" i="16"/>
  <c r="B40" i="16"/>
  <c r="B44" i="16"/>
  <c r="B48" i="16"/>
  <c r="B52" i="16"/>
  <c r="B56" i="16"/>
  <c r="B60" i="16"/>
  <c r="B64" i="16"/>
  <c r="B68" i="16"/>
  <c r="B72" i="16"/>
  <c r="B76" i="16"/>
  <c r="B80" i="16"/>
  <c r="B84" i="16"/>
  <c r="B88" i="16"/>
  <c r="B92" i="16"/>
  <c r="B54" i="16"/>
  <c r="B90" i="16"/>
  <c r="B126" i="16"/>
  <c r="B158" i="16"/>
  <c r="B190" i="16"/>
  <c r="B42" i="16"/>
  <c r="B70" i="16"/>
  <c r="B106" i="16"/>
  <c r="B142" i="16"/>
  <c r="B174" i="16"/>
  <c r="B206" i="16"/>
  <c r="B29" i="16"/>
  <c r="B62" i="16"/>
  <c r="B102" i="16"/>
  <c r="B134" i="16"/>
  <c r="B166" i="16"/>
  <c r="B202" i="16"/>
  <c r="B33" i="16"/>
  <c r="B46" i="16"/>
  <c r="B82" i="16"/>
  <c r="B118" i="16"/>
  <c r="B150" i="16"/>
  <c r="B210" i="16"/>
  <c r="B14" i="16"/>
  <c r="B17" i="16"/>
  <c r="B20" i="16"/>
  <c r="B23" i="16"/>
  <c r="B2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H16" i="16" s="1"/>
  <c r="AX18" i="16"/>
  <c r="F18" i="16" s="1"/>
  <c r="AX20" i="16"/>
  <c r="H20" i="16" s="1"/>
  <c r="AX22" i="16"/>
  <c r="H22" i="16" s="1"/>
  <c r="AX24" i="16"/>
  <c r="F24" i="16" s="1"/>
  <c r="AX26" i="16"/>
  <c r="AX28" i="16"/>
  <c r="H28" i="16" s="1"/>
  <c r="AX30" i="16"/>
  <c r="F30" i="16" s="1"/>
  <c r="AX32" i="16"/>
  <c r="AX34" i="16"/>
  <c r="H34" i="16" s="1"/>
  <c r="AX36" i="16"/>
  <c r="AX38" i="16"/>
  <c r="H38" i="16" s="1"/>
  <c r="AX40" i="16"/>
  <c r="H40" i="16" s="1"/>
  <c r="AX42" i="16"/>
  <c r="F42" i="16" s="1"/>
  <c r="AX44" i="16"/>
  <c r="AX46" i="16"/>
  <c r="H46" i="16" s="1"/>
  <c r="AX48" i="16"/>
  <c r="F48" i="16" s="1"/>
  <c r="AX50" i="16"/>
  <c r="H50" i="16" s="1"/>
  <c r="AX52" i="16"/>
  <c r="H52" i="16" s="1"/>
  <c r="AX54" i="16"/>
  <c r="F54" i="16" s="1"/>
  <c r="AX56" i="16"/>
  <c r="H56" i="16" s="1"/>
  <c r="AX58" i="16"/>
  <c r="H58" i="16" s="1"/>
  <c r="AX60" i="16"/>
  <c r="H60" i="16" s="1"/>
  <c r="AX62" i="16"/>
  <c r="H62" i="16" s="1"/>
  <c r="AX64" i="16"/>
  <c r="F64" i="16" s="1"/>
  <c r="AX66" i="16"/>
  <c r="AX68" i="16"/>
  <c r="H68" i="16" s="1"/>
  <c r="AX70" i="16"/>
  <c r="F70" i="16" s="1"/>
  <c r="AX72" i="16"/>
  <c r="F72" i="16" s="1"/>
  <c r="AX74" i="16"/>
  <c r="AX76" i="16"/>
  <c r="F76" i="16" s="1"/>
  <c r="AX78" i="16"/>
  <c r="AX80" i="16"/>
  <c r="AX82" i="16"/>
  <c r="H82" i="16" s="1"/>
  <c r="AX84" i="16"/>
  <c r="H84" i="16" s="1"/>
  <c r="AX86" i="16"/>
  <c r="H86" i="16" s="1"/>
  <c r="AX88" i="16"/>
  <c r="F88" i="16" s="1"/>
  <c r="AX90" i="16"/>
  <c r="AX92" i="16"/>
  <c r="H92" i="16" s="1"/>
  <c r="AX94" i="16"/>
  <c r="H94" i="16" s="1"/>
  <c r="AX96" i="16"/>
  <c r="F96" i="16" s="1"/>
  <c r="AX98" i="16"/>
  <c r="H98" i="16" s="1"/>
  <c r="AX100" i="16"/>
  <c r="F100" i="16" s="1"/>
  <c r="AX102" i="16"/>
  <c r="H102" i="16" s="1"/>
  <c r="AX104" i="16"/>
  <c r="H104" i="16" s="1"/>
  <c r="AX106" i="16"/>
  <c r="AX108" i="16"/>
  <c r="H108" i="16" s="1"/>
  <c r="AX110" i="16"/>
  <c r="F110" i="16" s="1"/>
  <c r="AX112" i="16"/>
  <c r="H112" i="16" s="1"/>
  <c r="AX114" i="16"/>
  <c r="F114" i="16" s="1"/>
  <c r="AX116" i="16"/>
  <c r="F116" i="16" s="1"/>
  <c r="AX118" i="16"/>
  <c r="H118" i="16" s="1"/>
  <c r="AX120" i="16"/>
  <c r="F120" i="16" s="1"/>
  <c r="AX122" i="16"/>
  <c r="H122" i="16" s="1"/>
  <c r="AX124" i="16"/>
  <c r="H124" i="16" s="1"/>
  <c r="AX126" i="16"/>
  <c r="F126" i="16" s="1"/>
  <c r="AX128" i="16"/>
  <c r="H128" i="16" s="1"/>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H160" i="16" s="1"/>
  <c r="AX162" i="16"/>
  <c r="F162" i="16" s="1"/>
  <c r="AX164" i="16"/>
  <c r="F164" i="16" s="1"/>
  <c r="AX166" i="16"/>
  <c r="AX168" i="16"/>
  <c r="H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H47" i="16" s="1"/>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F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H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18" i="16"/>
  <c r="H39" i="16"/>
  <c r="H72" i="16"/>
  <c r="H76" i="16"/>
  <c r="H96" i="16"/>
  <c r="H105" i="16"/>
  <c r="H114" i="16"/>
  <c r="H116" i="16"/>
  <c r="H130" i="16"/>
  <c r="H132" i="16"/>
  <c r="H138" i="16"/>
  <c r="H143" i="16"/>
  <c r="H145" i="16"/>
  <c r="H151" i="16"/>
  <c r="H156" i="16"/>
  <c r="H176" i="16"/>
  <c r="H178" i="16"/>
  <c r="H103" i="16"/>
  <c r="H120" i="16"/>
  <c r="H129" i="16"/>
  <c r="H140" i="16"/>
  <c r="H18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G3" i="16"/>
  <c r="J9" i="8" s="1"/>
  <c r="I3" i="16"/>
  <c r="P8" i="16"/>
  <c r="AF11" i="16"/>
  <c r="F3" i="16"/>
  <c r="H3" i="16"/>
  <c r="J11" i="8" s="1"/>
  <c r="F92" i="16"/>
  <c r="H42" i="16" l="1"/>
  <c r="F16" i="16"/>
  <c r="F68" i="16"/>
  <c r="H89" i="16"/>
  <c r="F20" i="16"/>
  <c r="H33" i="16"/>
  <c r="F128" i="16"/>
  <c r="H79" i="16"/>
  <c r="F104" i="16"/>
  <c r="F28" i="16"/>
  <c r="F112" i="16"/>
  <c r="H12" i="16"/>
  <c r="H24" i="16"/>
  <c r="F40" i="16"/>
  <c r="H23" i="16"/>
  <c r="F47" i="16"/>
  <c r="F160" i="16"/>
  <c r="F168" i="16"/>
  <c r="H69" i="16"/>
  <c r="H154" i="16"/>
  <c r="F56" i="16"/>
  <c r="H48" i="16"/>
  <c r="H64" i="16"/>
  <c r="H146" i="16"/>
  <c r="F135" i="16"/>
  <c r="F71" i="16"/>
  <c r="H270" i="16"/>
  <c r="H57" i="16"/>
  <c r="F254" i="16"/>
  <c r="H153" i="16"/>
  <c r="F131" i="16"/>
  <c r="F108" i="16"/>
  <c r="F60" i="16"/>
  <c r="H149" i="16"/>
  <c r="H152" i="16"/>
  <c r="H137" i="16"/>
  <c r="H327" i="16"/>
  <c r="H326" i="16"/>
  <c r="H212" i="16"/>
  <c r="H279" i="16"/>
  <c r="H190" i="16"/>
  <c r="H239" i="16"/>
  <c r="H142" i="16"/>
  <c r="H136" i="16"/>
  <c r="H223" i="16"/>
  <c r="H181" i="16"/>
  <c r="H352" i="16"/>
  <c r="H215" i="16"/>
  <c r="H345" i="16"/>
  <c r="H348" i="16"/>
  <c r="H175" i="16"/>
  <c r="H301" i="16"/>
  <c r="H328" i="16"/>
  <c r="H147" i="16"/>
  <c r="H253" i="16"/>
  <c r="H264" i="16"/>
  <c r="H139" i="16"/>
  <c r="H241" i="16"/>
  <c r="H252" i="16"/>
  <c r="H201" i="16"/>
  <c r="H180" i="16"/>
  <c r="H282" i="16"/>
  <c r="H161" i="16"/>
  <c r="H186" i="16"/>
  <c r="H63" i="16"/>
  <c r="H111" i="16"/>
  <c r="H192" i="16"/>
  <c r="H216" i="16"/>
  <c r="H88" i="16"/>
  <c r="H100" i="16"/>
  <c r="H15" i="16"/>
  <c r="F52" i="16"/>
  <c r="H49" i="16"/>
  <c r="H14" i="16"/>
  <c r="H70" i="16"/>
  <c r="H54" i="16"/>
  <c r="F46" i="16"/>
  <c r="F86" i="16"/>
  <c r="H236" i="16"/>
  <c r="H158" i="16"/>
  <c r="F101" i="16"/>
  <c r="H196" i="16"/>
  <c r="F35" i="16"/>
  <c r="H164" i="16"/>
  <c r="H75" i="16"/>
  <c r="H172" i="16"/>
  <c r="F91" i="16"/>
  <c r="H115" i="16"/>
  <c r="H99" i="16"/>
  <c r="H59" i="16"/>
  <c r="H83" i="16"/>
  <c r="H51" i="16"/>
  <c r="H123" i="16"/>
  <c r="H107"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B39"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H281" i="16"/>
  <c r="F281" i="16"/>
  <c r="F293" i="16"/>
  <c r="H293" i="16"/>
  <c r="F309" i="16"/>
  <c r="H309" i="16"/>
  <c r="H292" i="16"/>
  <c r="F292" i="16"/>
  <c r="H316" i="16"/>
  <c r="F316" i="16"/>
  <c r="H351" i="16"/>
  <c r="F351" i="16"/>
  <c r="AG23" i="16" l="1"/>
  <c r="AG14" i="16"/>
  <c r="AG19" i="16"/>
  <c r="I160" i="16"/>
  <c r="I264" i="16"/>
  <c r="I175" i="16"/>
  <c r="I180" i="16"/>
  <c r="I345" i="16"/>
  <c r="I215" i="16"/>
  <c r="I137" i="16"/>
  <c r="I149" i="16"/>
  <c r="T39" i="8"/>
  <c r="D50" i="8"/>
  <c r="K89" i="8"/>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AJ189" i="16" l="1"/>
  <c r="Y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L204" i="16"/>
  <c r="AJ203" i="16" l="1"/>
  <c r="Y203" i="16"/>
  <c r="AB203" i="16"/>
  <c r="U203" i="16"/>
  <c r="AQ203" i="16"/>
  <c r="AP204" i="16"/>
  <c r="AA204" i="16"/>
  <c r="S204" i="16"/>
  <c r="AI204" i="16"/>
  <c r="T204" i="16"/>
  <c r="X204" i="16"/>
  <c r="M204" i="16"/>
  <c r="N204" i="16" s="1"/>
  <c r="L205" i="16"/>
  <c r="Y204" i="16" l="1"/>
  <c r="AJ204" i="16"/>
  <c r="U204" i="16"/>
  <c r="AB204" i="16"/>
  <c r="AQ204" i="16"/>
  <c r="X205" i="16"/>
  <c r="M205" i="16"/>
  <c r="N205" i="16" s="1"/>
  <c r="AI205" i="16"/>
  <c r="T205" i="16"/>
  <c r="S205" i="16"/>
  <c r="AP205" i="16"/>
  <c r="AA205" i="16"/>
  <c r="L206" i="16"/>
  <c r="AJ205" i="16" l="1"/>
  <c r="AQ205" i="16"/>
  <c r="Y205" i="16"/>
  <c r="U205" i="16"/>
  <c r="AB205" i="16"/>
  <c r="AP206" i="16"/>
  <c r="AA206" i="16"/>
  <c r="S206" i="16"/>
  <c r="AI206" i="16"/>
  <c r="T206" i="16"/>
  <c r="X206" i="16"/>
  <c r="M206" i="16"/>
  <c r="N206" i="16" s="1"/>
  <c r="L207" i="16"/>
  <c r="AJ206" i="16" l="1"/>
  <c r="Y206" i="16"/>
  <c r="U206" i="16"/>
  <c r="AQ206" i="16"/>
  <c r="AB206" i="16"/>
  <c r="X207" i="16"/>
  <c r="M207" i="16"/>
  <c r="N207" i="16" s="1"/>
  <c r="AI207" i="16"/>
  <c r="T207" i="16"/>
  <c r="S207" i="16"/>
  <c r="AP207" i="16"/>
  <c r="AA207" i="16"/>
  <c r="L208" i="16"/>
  <c r="AJ207" i="16" l="1"/>
  <c r="AQ207" i="16"/>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7" i="16"/>
  <c r="Y9" i="16"/>
  <c r="L38" i="8" s="1"/>
  <c r="E51" i="8" s="1"/>
  <c r="U69" i="8"/>
  <c r="U67" i="8"/>
  <c r="U70" i="8"/>
  <c r="U68" i="8"/>
  <c r="U71" i="8"/>
  <c r="U73" i="8"/>
  <c r="U72" i="8"/>
  <c r="AK203" i="16" l="1"/>
  <c r="AK206" i="16"/>
  <c r="AK205" i="16"/>
  <c r="AR209" i="16"/>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231"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130" i="16"/>
  <c r="AC156" i="16"/>
  <c r="V11" i="16"/>
  <c r="V17" i="16"/>
  <c r="V23" i="16"/>
  <c r="V26" i="16"/>
  <c r="V35" i="16"/>
  <c r="V47" i="16"/>
  <c r="AC66" i="16"/>
  <c r="AC171" i="16"/>
  <c r="AC179"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E50" i="8" s="1"/>
  <c r="AK83" i="16"/>
  <c r="AK101" i="16"/>
  <c r="AK103" i="16"/>
  <c r="AK143" i="16"/>
  <c r="AK171" i="16"/>
  <c r="U9" i="16"/>
  <c r="P7" i="16"/>
  <c r="O11" i="16" s="1"/>
  <c r="Q7" i="16"/>
  <c r="Q10" i="16"/>
  <c r="R166" i="16" s="1"/>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19" i="16"/>
  <c r="P22" i="16"/>
  <c r="P14" i="16"/>
  <c r="P17" i="16"/>
  <c r="P185" i="16"/>
  <c r="P18" i="16"/>
  <c r="P21" i="16"/>
  <c r="P13" i="16"/>
  <c r="P24" i="16"/>
  <c r="P20" i="16"/>
  <c r="P16" i="16"/>
  <c r="P12" i="16"/>
  <c r="P23" i="16"/>
  <c r="P19" i="16"/>
  <c r="P15" i="16"/>
  <c r="P56" i="16"/>
  <c r="P32" i="16"/>
  <c r="P43" i="16"/>
  <c r="Q15" i="16"/>
  <c r="P46" i="16"/>
  <c r="P45" i="16"/>
  <c r="P25" i="16"/>
  <c r="P298" i="16" l="1"/>
  <c r="AC198" i="16"/>
  <c r="AC75" i="16"/>
  <c r="AC61" i="16"/>
  <c r="AC154" i="16"/>
  <c r="AC118" i="16"/>
  <c r="AC143" i="16"/>
  <c r="AC188" i="16"/>
  <c r="AC93" i="16"/>
  <c r="AC195" i="16"/>
  <c r="AC23" i="16"/>
  <c r="AC185" i="16"/>
  <c r="Q39" i="8"/>
  <c r="K39" i="8" s="1"/>
  <c r="V39" i="8"/>
  <c r="AL13" i="16"/>
  <c r="AM13" i="16" s="1"/>
  <c r="AN13" i="16" s="1"/>
  <c r="B93" i="8"/>
  <c r="AC189" i="16"/>
  <c r="AC56" i="16"/>
  <c r="AC104" i="16"/>
  <c r="AC144" i="16"/>
  <c r="AC187" i="16"/>
  <c r="AC78"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AT13" i="16"/>
  <c r="AU13" i="16" s="1"/>
  <c r="AS14" i="16"/>
  <c r="AL14" i="16" l="1"/>
  <c r="AM14" i="16" s="1"/>
  <c r="AN14" i="16" s="1"/>
  <c r="B94" i="8"/>
  <c r="E93" i="8"/>
  <c r="Y93" i="8" s="1"/>
  <c r="U93" i="8"/>
  <c r="AN11" i="16"/>
  <c r="U92" i="8" s="1"/>
  <c r="E92" i="8"/>
  <c r="Y92" i="8" s="1"/>
  <c r="M51" i="8"/>
  <c r="M49" i="8"/>
  <c r="M48" i="8"/>
  <c r="O121" i="8" s="1"/>
  <c r="M50" i="8"/>
  <c r="O50" i="8"/>
  <c r="O51" i="8"/>
  <c r="O49" i="8"/>
  <c r="O48" i="8"/>
  <c r="Q121" i="8" s="1"/>
  <c r="AU11" i="16"/>
  <c r="K38" i="8"/>
  <c r="M121" i="8"/>
  <c r="M118" i="8"/>
  <c r="M119" i="8"/>
  <c r="AT14" i="16"/>
  <c r="AU14" i="16" s="1"/>
  <c r="AS15" i="16"/>
  <c r="AL15" i="16" l="1"/>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AM18" i="16" s="1"/>
  <c r="AN18" i="16" s="1"/>
  <c r="B98" i="8"/>
  <c r="E97" i="8"/>
  <c r="Y97" i="8" s="1"/>
  <c r="U97" i="8"/>
  <c r="AS19" i="16"/>
  <c r="AT18" i="16"/>
  <c r="AU18" i="16" s="1"/>
  <c r="AL19" i="16" l="1"/>
  <c r="B99" i="8"/>
  <c r="U98" i="8"/>
  <c r="E98" i="8"/>
  <c r="Y98" i="8" s="1"/>
  <c r="AS20" i="16"/>
  <c r="AT19" i="16"/>
  <c r="AU19" i="16" s="1"/>
  <c r="AL20" i="16" l="1"/>
  <c r="AM20" i="16" s="1"/>
  <c r="AN20" i="16" s="1"/>
  <c r="B100" i="8"/>
  <c r="U99" i="8"/>
  <c r="E99" i="8"/>
  <c r="Y99" i="8" s="1"/>
  <c r="AM19" i="16"/>
  <c r="AN19" i="16" s="1"/>
  <c r="AT20" i="16"/>
  <c r="AU20" i="16" s="1"/>
  <c r="AS21" i="16"/>
  <c r="AL21" i="16" l="1"/>
  <c r="B101" i="8"/>
  <c r="U100" i="8"/>
  <c r="E100" i="8"/>
  <c r="Y100" i="8" s="1"/>
  <c r="AS22" i="16"/>
  <c r="AT21" i="16"/>
  <c r="AU21" i="16" s="1"/>
  <c r="AL22" i="16" l="1"/>
  <c r="AM22" i="16" s="1"/>
  <c r="AN22" i="16" s="1"/>
  <c r="B102" i="8"/>
  <c r="E101" i="8"/>
  <c r="Y101" i="8" s="1"/>
  <c r="U101" i="8"/>
  <c r="AM21" i="16"/>
  <c r="AN21" i="16" s="1"/>
  <c r="AT22" i="16"/>
  <c r="AU22" i="16" s="1"/>
  <c r="AS23" i="16"/>
  <c r="AL23" i="16" l="1"/>
  <c r="AM23" i="16" s="1"/>
  <c r="AN23" i="16" s="1"/>
  <c r="B103" i="8"/>
  <c r="U102" i="8"/>
  <c r="E102" i="8"/>
  <c r="Y102" i="8" s="1"/>
  <c r="AS24" i="16"/>
  <c r="AT23" i="16"/>
  <c r="AU23" i="16" s="1"/>
  <c r="AL24" i="16" l="1"/>
  <c r="B104" i="8"/>
  <c r="U103" i="8"/>
  <c r="E103" i="8"/>
  <c r="Y103" i="8" s="1"/>
  <c r="AT24" i="16"/>
  <c r="AU24" i="16" s="1"/>
  <c r="AS25" i="16"/>
  <c r="AL25" i="16" l="1"/>
  <c r="B105" i="8"/>
  <c r="U104" i="8"/>
  <c r="E104" i="8"/>
  <c r="Y104" i="8" s="1"/>
  <c r="AM24" i="16"/>
  <c r="AN24" i="16" s="1"/>
  <c r="AS26" i="16"/>
  <c r="AT25" i="16"/>
  <c r="AU25" i="16" s="1"/>
  <c r="AL26" i="16" l="1"/>
  <c r="AM26" i="16" s="1"/>
  <c r="AN26" i="16" s="1"/>
  <c r="B106" i="8"/>
  <c r="E105" i="8"/>
  <c r="Y105" i="8" s="1"/>
  <c r="U105" i="8"/>
  <c r="AM25" i="16"/>
  <c r="AN25" i="16"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<sst xmlns="http://schemas.openxmlformats.org/spreadsheetml/2006/main" count="12725" uniqueCount="916">
  <si>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</si>
  <si>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</si>
  <si>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</si>
  <si>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</si>
  <si>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</si>
  <si>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</si>
  <si>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</si>
  <si>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</si>
  <si>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</si>
  <si>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</si>
  <si>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</si>
  <si>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</si>
  <si>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</si>
  <si>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</si>
  <si>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</si>
  <si>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</si>
  <si>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</si>
  <si>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</si>
  <si>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</si>
  <si>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</si>
  <si>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</si>
  <si>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</si>
  <si>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</si>
  <si>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</si>
  <si>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</si>
  <si>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</si>
  <si>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</si>
  <si>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</si>
  <si>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</si>
  <si>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</si>
  <si>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</si>
  <si>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</si>
  <si>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</si>
  <si>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</si>
  <si>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</si>
  <si>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</si>
  <si>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</si>
  <si>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</si>
  <si>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</si>
  <si>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</si>
  <si>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</si>
  <si>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</si>
  <si>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</si>
  <si>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</si>
  <si>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</si>
  <si>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</si>
  <si>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</si>
  <si>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</si>
  <si>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</si>
  <si>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</si>
  <si>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</si>
  <si>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</si>
  <si>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</si>
  <si>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</si>
  <si>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</si>
  <si>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</si>
  <si>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</si>
  <si>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</si>
  <si>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</si>
  <si>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</si>
  <si>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</si>
  <si>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</si>
  <si>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</si>
  <si>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</si>
  <si>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</si>
  <si>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</si>
  <si>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</si>
  <si>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</si>
  <si>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</si>
  <si>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</si>
  <si>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</si>
  <si>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</si>
  <si>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</si>
  <si>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</si>
  <si>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</si>
  <si>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</si>
  <si>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</si>
  <si>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</si>
  <si>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</si>
  <si>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</si>
  <si>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</si>
  <si>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</si>
  <si>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</si>
  <si>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</si>
  <si>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</si>
  <si>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</si>
  <si>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</si>
  <si>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</si>
  <si>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</si>
  <si>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</si>
  <si>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</si>
  <si>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</si>
  <si>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</si>
  <si>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</si>
  <si>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</si>
  <si>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</si>
  <si>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</si>
  <si>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</si>
  <si>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</si>
  <si>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</si>
  <si>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</si>
  <si>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</si>
  <si>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</si>
  <si>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</si>
  <si>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</si>
  <si>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</si>
  <si>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</si>
  <si>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</si>
  <si>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</si>
  <si>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</si>
  <si>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</si>
  <si>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</si>
  <si>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</si>
  <si>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</si>
  <si>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</si>
  <si>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</si>
  <si>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</si>
  <si>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</si>
  <si>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</si>
  <si>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</si>
  <si>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</si>
  <si>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</si>
  <si>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</si>
  <si>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</si>
  <si>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</si>
  <si>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</si>
  <si>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</si>
  <si>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</si>
  <si>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</si>
  <si>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</si>
  <si>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</si>
  <si>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</si>
  <si>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</si>
  <si>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</si>
  <si>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</si>
  <si>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</si>
  <si>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</si>
  <si>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</si>
  <si>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</si>
  <si>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</si>
  <si>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</si>
  <si>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</si>
  <si>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</si>
  <si>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</si>
  <si>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</si>
  <si>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</si>
  <si>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</si>
  <si>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</si>
  <si>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</si>
  <si>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</si>
  <si>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</si>
  <si>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</si>
  <si>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</si>
  <si>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</si>
  <si>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</si>
  <si>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</si>
  <si>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</si>
  <si>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</si>
  <si>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</si>
  <si>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</si>
  <si>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</si>
  <si>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</si>
  <si>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</si>
  <si>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</si>
  <si>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</si>
  <si>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</si>
  <si>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</si>
  <si>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</si>
  <si>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</si>
  <si>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</si>
  <si>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</si>
  <si>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</si>
  <si>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</si>
  <si>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</si>
  <si>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</si>
  <si>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</si>
  <si>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</si>
  <si>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</si>
  <si>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</si>
  <si>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</si>
  <si>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</si>
  <si>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</si>
  <si>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</si>
  <si>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</si>
  <si>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</si>
  <si>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</si>
  <si>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</si>
  <si>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</si>
  <si>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</si>
  <si>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</si>
  <si>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</si>
  <si>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</si>
  <si>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</si>
  <si>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</si>
  <si>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</si>
  <si>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</si>
  <si>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</si>
  <si>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</si>
  <si>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</si>
  <si>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</si>
  <si>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</si>
  <si>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</si>
  <si>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</si>
  <si>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</si>
  <si>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</si>
  <si>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</si>
  <si>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</si>
  <si>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</si>
  <si>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</si>
  <si>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</si>
  <si>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</si>
  <si>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</si>
  <si>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</si>
  <si>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</si>
  <si>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</si>
  <si>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</si>
  <si>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</si>
  <si>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</si>
  <si>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</si>
  <si>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</si>
  <si>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</si>
  <si>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</si>
  <si>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</si>
  <si>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</si>
  <si>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</si>
  <si>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</si>
  <si>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</si>
  <si>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</si>
  <si>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</si>
  <si>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</si>
  <si>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</si>
  <si>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</si>
  <si>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</si>
  <si>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</si>
  <si>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</si>
  <si>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</si>
  <si>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</si>
  <si>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</si>
  <si>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</si>
  <si>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</si>
  <si>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</si>
  <si>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</si>
  <si>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</si>
  <si>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</si>
  <si>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</si>
  <si>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</si>
  <si>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</si>
  <si>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</si>
  <si>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</si>
  <si>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</si>
  <si>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</si>
  <si>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</si>
  <si>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</si>
  <si>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</si>
  <si>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</si>
  <si>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</si>
  <si>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</si>
  <si>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</si>
  <si>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</si>
  <si>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</si>
  <si>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</si>
  <si>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</si>
  <si>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</si>
  <si>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</si>
  <si>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</si>
  <si>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</si>
  <si>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</si>
  <si>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</si>
  <si>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</si>
  <si>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</si>
  <si>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</si>
  <si>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</si>
  <si>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</si>
  <si>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</si>
  <si>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</si>
  <si>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</si>
  <si>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</si>
  <si>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</si>
  <si>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</si>
  <si>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</si>
  <si>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</si>
  <si>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</si>
  <si>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</si>
  <si>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</si>
  <si>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</si>
  <si>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</si>
  <si>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</si>
  <si>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</si>
  <si>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</si>
  <si>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</si>
  <si>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</si>
  <si>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</si>
  <si>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</si>
  <si>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</si>
  <si>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</si>
  <si>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</si>
  <si>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</si>
  <si>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</si>
  <si>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</si>
  <si>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</si>
  <si>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</si>
  <si>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</si>
  <si>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</si>
  <si>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</si>
  <si>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</si>
  <si>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</si>
  <si>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</si>
  <si>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</si>
  <si>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</si>
  <si>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</si>
  <si>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</si>
  <si>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</si>
  <si>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</si>
  <si>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</si>
  <si>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</si>
  <si>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</si>
  <si>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</si>
  <si>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</si>
  <si>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</si>
  <si>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</si>
  <si>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</si>
  <si>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</si>
  <si>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</si>
  <si>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</si>
  <si>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</si>
  <si>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</si>
  <si>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</si>
  <si>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</si>
  <si>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</si>
  <si>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</si>
  <si>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</si>
  <si>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</si>
  <si>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</si>
  <si>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</si>
  <si>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</si>
  <si>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</si>
  <si>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</si>
  <si>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</si>
  <si>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</si>
  <si>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</si>
  <si>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</si>
  <si>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</si>
  <si>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</si>
  <si>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</si>
  <si>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</si>
  <si>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</si>
  <si>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</si>
  <si>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</si>
  <si>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</si>
  <si>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</si>
  <si>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</si>
  <si>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</si>
  <si>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</si>
  <si>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</si>
  <si>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</si>
  <si>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</si>
  <si>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</si>
  <si>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</si>
  <si>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</si>
  <si>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</si>
  <si>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</si>
  <si>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</si>
  <si>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</si>
  <si>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</si>
  <si>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</si>
  <si>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</si>
  <si>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</si>
  <si>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</si>
  <si>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</si>
  <si>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</si>
  <si>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</si>
  <si>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</si>
  <si>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</si>
  <si>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</si>
  <si>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</si>
  <si>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</si>
  <si>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</si>
  <si>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</si>
  <si>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</si>
  <si>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</si>
  <si>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</si>
  <si>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</si>
  <si>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</si>
  <si>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</si>
  <si>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</si>
  <si>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</si>
  <si>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</si>
  <si>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</si>
  <si>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</si>
  <si>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</si>
  <si>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</si>
  <si>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</si>
  <si>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</si>
  <si>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</si>
  <si>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</si>
  <si>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</si>
  <si>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</si>
  <si>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</si>
  <si>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</si>
  <si>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</si>
  <si>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</si>
  <si>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</si>
  <si>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</si>
  <si>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</si>
  <si>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</si>
  <si>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</si>
  <si>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</si>
  <si>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</si>
  <si>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</si>
  <si>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</si>
  <si>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</si>
  <si>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</si>
  <si>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</si>
  <si>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</si>
  <si>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</si>
  <si>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</si>
  <si>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</si>
  <si>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</si>
  <si>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</si>
  <si>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</si>
  <si>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</si>
  <si>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</si>
  <si>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</si>
  <si>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</si>
  <si>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</si>
  <si>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</si>
  <si>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</si>
  <si>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</si>
  <si>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</si>
  <si>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</si>
  <si>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</si>
  <si>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</si>
  <si>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</si>
  <si>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</si>
  <si>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</si>
  <si>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</si>
  <si>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</si>
  <si>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</si>
  <si>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</si>
  <si>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</si>
  <si>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</si>
  <si>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</si>
  <si>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</si>
  <si>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</si>
  <si>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</si>
  <si>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</si>
  <si>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</si>
  <si>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</si>
  <si>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</si>
  <si>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</si>
  <si>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</si>
  <si>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</si>
  <si>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</si>
  <si>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</si>
  <si>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</si>
  <si>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</si>
  <si>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</si>
  <si>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</si>
  <si>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</si>
  <si>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</si>
  <si>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</si>
  <si>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</si>
  <si>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</si>
  <si>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</si>
  <si>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</si>
  <si>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</si>
  <si>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</si>
  <si>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</si>
  <si>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</si>
  <si>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</si>
  <si>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</si>
  <si>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</si>
  <si>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</si>
  <si>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</si>
  <si>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</si>
  <si>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</si>
  <si>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</si>
  <si>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</si>
  <si>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</si>
  <si>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</si>
  <si>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</si>
  <si>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</si>
  <si>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</si>
  <si>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</si>
  <si>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</si>
  <si>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</si>
  <si>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</si>
  <si>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</si>
  <si>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</si>
  <si>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</si>
  <si>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</si>
  <si>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</si>
  <si>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</si>
  <si>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</si>
  <si>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</si>
  <si>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</si>
  <si>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</si>
  <si>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</si>
  <si>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</si>
  <si>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</si>
  <si>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</si>
  <si>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</si>
  <si>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</si>
  <si>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</si>
  <si>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</si>
  <si>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</si>
  <si>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</si>
  <si>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</si>
  <si>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</si>
  <si>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</si>
  <si>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</si>
  <si>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</si>
  <si>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</si>
  <si>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</si>
  <si>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</si>
  <si>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</si>
  <si>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</si>
  <si>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</si>
  <si>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</si>
  <si>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</si>
  <si>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</si>
  <si>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</si>
  <si>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</si>
  <si>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</si>
  <si>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</si>
  <si>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</si>
  <si>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</si>
  <si>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</si>
  <si>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</si>
  <si>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</si>
  <si>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</si>
  <si>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</si>
  <si>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</si>
  <si>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</si>
  <si>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</si>
  <si>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</si>
  <si>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</si>
  <si>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</si>
  <si>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</si>
  <si>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</si>
  <si>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</si>
  <si>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</si>
  <si>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</si>
  <si>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</si>
  <si>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</si>
  <si>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</si>
  <si>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</si>
  <si>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</si>
  <si>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</si>
  <si>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</si>
  <si>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</si>
  <si>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</si>
  <si>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</si>
  <si>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</si>
  <si>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</si>
  <si>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</si>
  <si>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</si>
  <si>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</si>
  <si>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</si>
  <si>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</si>
  <si>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</si>
  <si>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</si>
  <si>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</si>
  <si>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</si>
  <si>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</si>
  <si>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</si>
  <si>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</si>
  <si>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</si>
  <si>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</si>
  <si>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</si>
  <si>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</si>
  <si>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</si>
  <si>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</si>
  <si>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</si>
  <si>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</si>
  <si>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</si>
  <si>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</si>
  <si>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</si>
  <si>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</si>
  <si>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</si>
  <si>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</si>
  <si>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</si>
  <si>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</si>
  <si>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</si>
  <si>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</si>
  <si>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</si>
  <si>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</si>
  <si>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</si>
  <si>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</si>
  <si>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</si>
  <si>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</si>
  <si>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</si>
  <si>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</si>
  <si>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</si>
  <si>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</si>
  <si>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</si>
  <si>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</si>
  <si>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</si>
  <si>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</si>
  <si>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</si>
  <si>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</si>
  <si>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</si>
  <si>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</si>
  <si>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</si>
  <si>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</si>
  <si>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</si>
  <si>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</si>
  <si>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</si>
  <si>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</si>
  <si>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</si>
  <si>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</si>
  <si>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</si>
  <si>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</si>
  <si>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</si>
  <si>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</si>
  <si>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</si>
  <si>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</si>
  <si>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</si>
  <si>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</si>
  <si>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</si>
  <si>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</si>
  <si>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</si>
  <si>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</si>
  <si>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</si>
  <si>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</si>
  <si>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</si>
  <si>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</si>
  <si>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</si>
  <si>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</si>
  <si>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</si>
  <si>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</si>
  <si>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</si>
  <si>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</si>
  <si>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</si>
  <si>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</si>
  <si>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</si>
  <si>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</si>
  <si>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</si>
  <si>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</si>
  <si>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</si>
  <si>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</si>
  <si>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</si>
  <si>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</si>
  <si>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</si>
  <si>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</si>
  <si>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</si>
  <si>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</si>
  <si>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</si>
  <si>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</si>
  <si>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</si>
  <si>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</si>
  <si>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</si>
  <si>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</si>
  <si>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</si>
  <si>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</si>
  <si>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</si>
  <si>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</si>
  <si>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</si>
  <si>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</si>
  <si>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</si>
  <si>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</si>
  <si>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</si>
  <si>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</si>
  <si>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</si>
  <si>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</si>
  <si>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</si>
  <si>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</si>
  <si>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</si>
  <si>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</si>
  <si>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</si>
  <si>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</si>
  <si>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</si>
  <si>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</si>
  <si>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</si>
  <si>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</si>
  <si>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</si>
  <si>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</si>
  <si>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</si>
  <si>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</si>
  <si>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</si>
  <si>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</si>
  <si>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</si>
  <si>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</si>
  <si>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</si>
  <si>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</si>
  <si>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</si>
  <si>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</si>
  <si>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</si>
  <si>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</si>
  <si>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</si>
  <si>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</si>
  <si>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</si>
  <si>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</si>
  <si>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</si>
  <si>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</si>
  <si>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</si>
  <si>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</si>
  <si>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</si>
  <si>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</si>
  <si>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</si>
  <si>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</si>
  <si>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</si>
  <si>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</si>
  <si>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</si>
  <si>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</si>
  <si>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</si>
  <si>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</si>
  <si>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</si>
  <si>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</si>
  <si>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</si>
  <si>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</si>
  <si>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</si>
  <si>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</si>
  <si>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</si>
  <si>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</si>
  <si>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</si>
  <si>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</si>
  <si>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</si>
  <si>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</si>
  <si>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</si>
  <si>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</si>
  <si>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</si>
  <si>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</si>
  <si>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</si>
  <si>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</si>
  <si>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</si>
  <si>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</si>
  <si>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</si>
  <si>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</si>
  <si>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</si>
  <si>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</si>
  <si>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</si>
  <si>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</si>
  <si>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</si>
  <si>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</si>
  <si>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</si>
  <si>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</si>
  <si>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</si>
  <si>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</si>
  <si>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</si>
  <si>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</si>
  <si>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</si>
  <si>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</si>
  <si>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</si>
  <si>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</si>
  <si>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</si>
  <si>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</si>
  <si>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</si>
  <si>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</si>
  <si>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</si>
  <si>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</si>
  <si>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</si>
  <si>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</si>
  <si>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</si>
  <si>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</si>
  <si>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</si>
  <si>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</si>
  <si>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</si>
  <si>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</si>
  <si>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</si>
  <si>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</si>
  <si>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</si>
  <si>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</si>
  <si>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</si>
  <si>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</si>
  <si>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</si>
  <si>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</si>
  <si>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</si>
  <si>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</si>
  <si>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</si>
  <si>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</si>
  <si>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</si>
  <si>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</si>
  <si>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</si>
  <si>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</si>
  <si>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</si>
  <si>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</si>
  <si>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</si>
  <si>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</si>
  <si>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</si>
  <si>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</si>
  <si>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</si>
  <si>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</si>
  <si>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</si>
  <si>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</si>
  <si>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</si>
  <si>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</si>
  <si>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</si>
  <si>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</si>
  <si>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</si>
  <si>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</si>
  <si>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</si>
  <si>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</si>
  <si>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</si>
  <si>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</si>
  <si>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</si>
  <si>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</si>
  <si>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</si>
  <si>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</si>
  <si>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</si>
  <si>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</si>
  <si>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</si>
  <si>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</si>
  <si>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</si>
  <si>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</si>
  <si>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</si>
  <si>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</si>
  <si>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</si>
  <si>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</si>
  <si>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</si>
  <si>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</si>
  <si>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</si>
  <si>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</si>
  <si>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</si>
  <si>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</si>
  <si>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</si>
  <si>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</si>
  <si>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</si>
  <si>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</si>
  <si>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</si>
  <si>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</si>
  <si>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</si>
  <si>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</si>
  <si>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</si>
  <si>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</si>
  <si>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</si>
  <si>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</si>
  <si>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</si>
  <si>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</si>
  <si>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</si>
  <si>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</si>
  <si>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</si>
  <si>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</si>
  <si>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</si>
  <si>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</si>
  <si>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</si>
  <si>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</si>
  <si>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</si>
  <si>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</si>
  <si>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</si>
  <si>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</si>
  <si>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</si>
  <si>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</si>
  <si>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</si>
  <si>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</si>
  <si>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</si>
  <si>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</si>
  <si>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</si>
  <si>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</si>
  <si>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</si>
  <si>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</si>
  <si>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</si>
  <si>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</si>
  <si>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</si>
  <si>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</si>
  <si>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</si>
  <si>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</si>
  <si>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</si>
  <si>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</si>
  <si>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</si>
  <si>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</si>
  <si>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</si>
  <si>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</si>
  <si>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</si>
  <si>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</si>
  <si>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</si>
  <si>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</si>
  <si>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</si>
  <si>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</si>
  <si>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</si>
  <si>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</si>
  <si>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</si>
  <si>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</si>
  <si>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</si>
  <si>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</si>
  <si>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</si>
  <si>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</si>
  <si>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</si>
  <si>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</si>
  <si>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</si>
  <si>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</si>
  <si>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</si>
  <si>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</si>
  <si>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</si>
  <si>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</si>
  <si>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2011-12</t>
  </si>
  <si>
    <t>2012-13</t>
  </si>
  <si>
    <t>2013-14</t>
  </si>
  <si>
    <t>A</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</si>
  <si>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</si>
  <si>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</si>
  <si>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</si>
  <si>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</si>
  <si>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</si>
  <si>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</si>
  <si>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</si>
  <si>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</si>
  <si>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</si>
  <si>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</si>
  <si>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</si>
  <si>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</si>
  <si>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</si>
  <si>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</si>
  <si>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</si>
  <si>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</si>
  <si>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</si>
  <si>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</si>
  <si>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</si>
  <si>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t>
  </si>
  <si>
    <t>2018-19</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</si>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</sst>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4">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horizontal="left"/>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22" fillId="0" borderId="0" xfId="0" applyFont="1" applyAlignment="1">
      <alignment horizontal="center"/>
    </xf>
    <xf numFmtId="0" fontId="10" fillId="21" borderId="0" xfId="0" applyFont="1" applyFill="1" applyAlignment="1">
      <alignment horizontal="center"/>
    </xf>
    <xf numFmtId="0" fontId="10" fillId="0" borderId="0" xfId="0" applyFont="1" applyAlignment="1">
      <alignment horizontal="center"/>
    </xf>
    <xf numFmtId="2" fontId="10" fillId="21" borderId="0" xfId="4" applyNumberFormat="1" applyFont="1" applyFill="1" applyAlignment="1">
      <alignment horizontal="center"/>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1" fontId="11" fillId="0" borderId="4" xfId="4" applyNumberFormat="1" applyFont="1" applyBorder="1" applyAlignment="1">
      <alignment horizontal="center"/>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2" fontId="0" fillId="0" borderId="0" xfId="0" applyNumberFormat="1" applyBorder="1" applyAlignment="1">
      <alignment horizontal="center"/>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0" fontId="0" fillId="0" borderId="0" xfId="0" quotePrefix="1" applyNumberFormat="1" applyAlignment="1">
      <alignment horizontal="center"/>
    </xf>
    <xf numFmtId="0" fontId="40" fillId="23" borderId="0" xfId="0" applyFont="1" applyFill="1" applyAlignment="1">
      <alignment horizontal="center" vertical="center"/>
    </xf>
    <xf numFmtId="43" fontId="9" fillId="0" borderId="15" xfId="54" applyNumberFormat="1" applyFont="1" applyBorder="1" applyAlignment="1">
      <alignment horizontal="center"/>
    </xf>
    <xf numFmtId="164" fontId="0" fillId="0" borderId="6" xfId="54" applyNumberFormat="1" applyFont="1" applyBorder="1" applyAlignment="1">
      <alignment horizontal="center"/>
    </xf>
    <xf numFmtId="0" fontId="12" fillId="2" borderId="4" xfId="0" applyFont="1" applyFill="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164" fontId="0" fillId="0" borderId="0" xfId="54" applyNumberFormat="1"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43" fontId="0" fillId="0" borderId="0" xfId="54" applyNumberFormat="1" applyFont="1" applyBorder="1" applyAlignment="1">
      <alignment horizontal="center"/>
    </xf>
    <xf numFmtId="0" fontId="25" fillId="23" borderId="0" xfId="0" applyFont="1" applyFill="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2" fontId="10" fillId="0" borderId="0" xfId="4" applyNumberFormat="1" applyFont="1" applyAlignment="1">
      <alignment horizontal="center"/>
    </xf>
    <xf numFmtId="2" fontId="10" fillId="0" borderId="0" xfId="4" applyNumberFormat="1" applyFont="1" applyAlignment="1">
      <alignment horizontal="right"/>
    </xf>
    <xf numFmtId="166" fontId="0" fillId="0" borderId="0" xfId="54" applyNumberFormat="1" applyFont="1" applyAlignment="1">
      <alignment horizontal="center"/>
    </xf>
    <xf numFmtId="0" fontId="0" fillId="21" borderId="0" xfId="0" applyFont="1" applyFill="1" applyAlignment="1">
      <alignment horizontal="left"/>
    </xf>
    <xf numFmtId="0" fontId="27" fillId="23" borderId="0" xfId="0" quotePrefix="1" applyNumberFormat="1" applyFont="1" applyFill="1" applyAlignment="1">
      <alignment horizontal="center"/>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16"/>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51"/>
                <c:pt idx="150">
                  <c:v>u</c:v>
                </c:pt>
              </c:strCache>
            </c:strRef>
          </c:cat>
          <c:val>
            <c:numRef>
              <c:f>[0]!TopQuart</c:f>
              <c:numCache>
                <c:formatCode>General</c:formatCode>
                <c:ptCount val="179"/>
                <c:pt idx="0">
                  <c:v>269.39999999999998</c:v>
                </c:pt>
                <c:pt idx="1">
                  <c:v>299.8</c:v>
                </c:pt>
                <c:pt idx="2">
                  <c:v>307.3</c:v>
                </c:pt>
                <c:pt idx="3">
                  <c:v>325.2</c:v>
                </c:pt>
                <c:pt idx="4">
                  <c:v>326.89999999999998</c:v>
                </c:pt>
                <c:pt idx="5">
                  <c:v>333.6</c:v>
                </c:pt>
                <c:pt idx="6">
                  <c:v>335.5</c:v>
                </c:pt>
                <c:pt idx="7">
                  <c:v>336.3</c:v>
                </c:pt>
                <c:pt idx="8">
                  <c:v>350</c:v>
                </c:pt>
                <c:pt idx="9">
                  <c:v>355.9</c:v>
                </c:pt>
                <c:pt idx="10">
                  <c:v>357.6</c:v>
                </c:pt>
                <c:pt idx="11">
                  <c:v>358.4</c:v>
                </c:pt>
                <c:pt idx="12">
                  <c:v>364.9</c:v>
                </c:pt>
                <c:pt idx="13">
                  <c:v>369.6</c:v>
                </c:pt>
                <c:pt idx="14">
                  <c:v>373.4</c:v>
                </c:pt>
                <c:pt idx="15">
                  <c:v>376.8</c:v>
                </c:pt>
                <c:pt idx="16">
                  <c:v>378.2</c:v>
                </c:pt>
                <c:pt idx="17">
                  <c:v>379.6</c:v>
                </c:pt>
                <c:pt idx="18">
                  <c:v>387.2</c:v>
                </c:pt>
                <c:pt idx="19">
                  <c:v>388.9</c:v>
                </c:pt>
                <c:pt idx="20">
                  <c:v>389.2</c:v>
                </c:pt>
                <c:pt idx="21">
                  <c:v>392.7</c:v>
                </c:pt>
                <c:pt idx="22">
                  <c:v>398.3</c:v>
                </c:pt>
                <c:pt idx="23">
                  <c:v>403</c:v>
                </c:pt>
                <c:pt idx="24">
                  <c:v>403.1</c:v>
                </c:pt>
                <c:pt idx="25">
                  <c:v>404.6</c:v>
                </c:pt>
                <c:pt idx="26">
                  <c:v>405.9</c:v>
                </c:pt>
                <c:pt idx="27">
                  <c:v>411.9</c:v>
                </c:pt>
                <c:pt idx="28">
                  <c:v>412.7</c:v>
                </c:pt>
                <c:pt idx="29">
                  <c:v>413.2</c:v>
                </c:pt>
                <c:pt idx="30">
                  <c:v>416.3</c:v>
                </c:pt>
                <c:pt idx="31">
                  <c:v>420.5</c:v>
                </c:pt>
                <c:pt idx="32">
                  <c:v>423.1</c:v>
                </c:pt>
                <c:pt idx="33">
                  <c:v>425</c:v>
                </c:pt>
                <c:pt idx="34">
                  <c:v>425.8</c:v>
                </c:pt>
                <c:pt idx="35">
                  <c:v>425.8</c:v>
                </c:pt>
                <c:pt idx="36">
                  <c:v>425.8</c:v>
                </c:pt>
                <c:pt idx="37">
                  <c:v>426.2</c:v>
                </c:pt>
                <c:pt idx="38">
                  <c:v>426.5</c:v>
                </c:pt>
                <c:pt idx="39">
                  <c:v>427.6</c:v>
                </c:pt>
                <c:pt idx="40">
                  <c:v>428.5</c:v>
                </c:pt>
                <c:pt idx="41">
                  <c:v>431.5</c:v>
                </c:pt>
                <c:pt idx="42">
                  <c:v>432.5</c:v>
                </c:pt>
                <c:pt idx="43">
                  <c:v>434.5</c:v>
                </c:pt>
                <c:pt idx="44">
                  <c:v>436.8</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0-0CE3-4AEA-A754-149977CB5CDF}"/>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51"/>
                <c:pt idx="150">
                  <c:v>u</c:v>
                </c:pt>
              </c:strCache>
            </c:strRef>
          </c:cat>
          <c:val>
            <c:numRef>
              <c:f>[0]!SecQuart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438.3</c:v>
                </c:pt>
                <c:pt idx="46">
                  <c:v>438.4</c:v>
                </c:pt>
                <c:pt idx="47">
                  <c:v>439</c:v>
                </c:pt>
                <c:pt idx="48">
                  <c:v>439.2</c:v>
                </c:pt>
                <c:pt idx="49">
                  <c:v>439.9</c:v>
                </c:pt>
                <c:pt idx="50">
                  <c:v>440.8</c:v>
                </c:pt>
                <c:pt idx="51">
                  <c:v>441.1</c:v>
                </c:pt>
                <c:pt idx="52">
                  <c:v>444.7</c:v>
                </c:pt>
                <c:pt idx="53">
                  <c:v>445.7</c:v>
                </c:pt>
                <c:pt idx="54">
                  <c:v>447</c:v>
                </c:pt>
                <c:pt idx="55">
                  <c:v>448.1</c:v>
                </c:pt>
                <c:pt idx="56">
                  <c:v>449</c:v>
                </c:pt>
                <c:pt idx="57">
                  <c:v>449.3</c:v>
                </c:pt>
                <c:pt idx="58">
                  <c:v>452.6</c:v>
                </c:pt>
                <c:pt idx="59">
                  <c:v>457</c:v>
                </c:pt>
                <c:pt idx="60">
                  <c:v>458.2</c:v>
                </c:pt>
                <c:pt idx="61">
                  <c:v>458.6</c:v>
                </c:pt>
                <c:pt idx="62">
                  <c:v>459.1</c:v>
                </c:pt>
                <c:pt idx="63">
                  <c:v>459.6</c:v>
                </c:pt>
                <c:pt idx="64">
                  <c:v>460.1</c:v>
                </c:pt>
                <c:pt idx="65">
                  <c:v>461</c:v>
                </c:pt>
                <c:pt idx="66">
                  <c:v>462.5</c:v>
                </c:pt>
                <c:pt idx="67">
                  <c:v>464.6</c:v>
                </c:pt>
                <c:pt idx="68">
                  <c:v>465</c:v>
                </c:pt>
                <c:pt idx="69">
                  <c:v>465</c:v>
                </c:pt>
                <c:pt idx="70">
                  <c:v>466.3</c:v>
                </c:pt>
                <c:pt idx="71">
                  <c:v>466.3</c:v>
                </c:pt>
                <c:pt idx="72">
                  <c:v>469.1</c:v>
                </c:pt>
                <c:pt idx="73">
                  <c:v>472.7</c:v>
                </c:pt>
                <c:pt idx="74">
                  <c:v>474.8</c:v>
                </c:pt>
                <c:pt idx="75">
                  <c:v>475.2</c:v>
                </c:pt>
                <c:pt idx="76">
                  <c:v>475.2</c:v>
                </c:pt>
                <c:pt idx="77">
                  <c:v>475.6</c:v>
                </c:pt>
                <c:pt idx="78">
                  <c:v>476.6</c:v>
                </c:pt>
                <c:pt idx="79">
                  <c:v>477.6</c:v>
                </c:pt>
                <c:pt idx="80">
                  <c:v>477.9</c:v>
                </c:pt>
                <c:pt idx="81">
                  <c:v>479</c:v>
                </c:pt>
                <c:pt idx="82">
                  <c:v>479.1</c:v>
                </c:pt>
                <c:pt idx="83">
                  <c:v>480.3</c:v>
                </c:pt>
                <c:pt idx="84">
                  <c:v>482.7</c:v>
                </c:pt>
                <c:pt idx="85">
                  <c:v>486.2</c:v>
                </c:pt>
                <c:pt idx="86">
                  <c:v>486.3</c:v>
                </c:pt>
                <c:pt idx="87">
                  <c:v>487.6</c:v>
                </c:pt>
                <c:pt idx="88">
                  <c:v>488.8</c:v>
                </c:pt>
                <c:pt idx="89">
                  <c:v>490.9</c:v>
                </c:pt>
                <c:pt idx="90">
                  <c:v>490.9</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1-0CE3-4AEA-A754-149977CB5CDF}"/>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51"/>
                <c:pt idx="150">
                  <c:v>u</c:v>
                </c:pt>
              </c:strCache>
            </c:strRef>
          </c:cat>
          <c:val>
            <c:numRef>
              <c:f>[0]!ThirdQuart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491.5</c:v>
                </c:pt>
                <c:pt idx="92">
                  <c:v>493.4</c:v>
                </c:pt>
                <c:pt idx="93">
                  <c:v>495.4</c:v>
                </c:pt>
                <c:pt idx="94">
                  <c:v>495.7</c:v>
                </c:pt>
                <c:pt idx="95">
                  <c:v>496.1</c:v>
                </c:pt>
                <c:pt idx="96">
                  <c:v>497.2</c:v>
                </c:pt>
                <c:pt idx="97">
                  <c:v>497.3</c:v>
                </c:pt>
                <c:pt idx="98">
                  <c:v>501.5</c:v>
                </c:pt>
                <c:pt idx="99">
                  <c:v>502.2</c:v>
                </c:pt>
                <c:pt idx="100">
                  <c:v>503.3</c:v>
                </c:pt>
                <c:pt idx="101">
                  <c:v>503.4</c:v>
                </c:pt>
                <c:pt idx="102">
                  <c:v>504.7</c:v>
                </c:pt>
                <c:pt idx="103">
                  <c:v>504.9</c:v>
                </c:pt>
                <c:pt idx="104">
                  <c:v>505.6</c:v>
                </c:pt>
                <c:pt idx="105">
                  <c:v>505.7</c:v>
                </c:pt>
                <c:pt idx="106">
                  <c:v>507.9</c:v>
                </c:pt>
                <c:pt idx="107">
                  <c:v>508.6</c:v>
                </c:pt>
                <c:pt idx="108">
                  <c:v>509.3</c:v>
                </c:pt>
                <c:pt idx="109">
                  <c:v>510.3</c:v>
                </c:pt>
                <c:pt idx="110">
                  <c:v>511.5</c:v>
                </c:pt>
                <c:pt idx="111">
                  <c:v>511.8</c:v>
                </c:pt>
                <c:pt idx="112">
                  <c:v>511.9</c:v>
                </c:pt>
                <c:pt idx="113">
                  <c:v>512.1</c:v>
                </c:pt>
                <c:pt idx="114">
                  <c:v>512.70000000000005</c:v>
                </c:pt>
                <c:pt idx="115">
                  <c:v>515.5</c:v>
                </c:pt>
                <c:pt idx="116">
                  <c:v>518.20000000000005</c:v>
                </c:pt>
                <c:pt idx="117">
                  <c:v>522.5</c:v>
                </c:pt>
                <c:pt idx="118">
                  <c:v>523.29999999999995</c:v>
                </c:pt>
                <c:pt idx="119">
                  <c:v>524</c:v>
                </c:pt>
                <c:pt idx="120">
                  <c:v>524.29999999999995</c:v>
                </c:pt>
                <c:pt idx="121">
                  <c:v>525</c:v>
                </c:pt>
                <c:pt idx="122">
                  <c:v>525.1</c:v>
                </c:pt>
                <c:pt idx="123">
                  <c:v>525.1</c:v>
                </c:pt>
                <c:pt idx="124">
                  <c:v>527.4</c:v>
                </c:pt>
                <c:pt idx="125">
                  <c:v>527.70000000000005</c:v>
                </c:pt>
                <c:pt idx="126">
                  <c:v>528.4</c:v>
                </c:pt>
                <c:pt idx="127">
                  <c:v>528.70000000000005</c:v>
                </c:pt>
                <c:pt idx="128">
                  <c:v>530.5</c:v>
                </c:pt>
                <c:pt idx="129">
                  <c:v>532.1</c:v>
                </c:pt>
                <c:pt idx="130">
                  <c:v>532.6</c:v>
                </c:pt>
                <c:pt idx="131">
                  <c:v>534.70000000000005</c:v>
                </c:pt>
                <c:pt idx="132">
                  <c:v>538.20000000000005</c:v>
                </c:pt>
                <c:pt idx="133">
                  <c:v>538.29999999999995</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2-0CE3-4AEA-A754-149977CB5CDF}"/>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51"/>
                <c:pt idx="150">
                  <c:v>u</c:v>
                </c:pt>
              </c:strCache>
            </c:strRef>
          </c:cat>
          <c:val>
            <c:numRef>
              <c:f>[0]!BotQuart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538.79999999999995</c:v>
                </c:pt>
                <c:pt idx="135">
                  <c:v>539</c:v>
                </c:pt>
                <c:pt idx="136">
                  <c:v>539.20000000000005</c:v>
                </c:pt>
                <c:pt idx="137">
                  <c:v>539.6</c:v>
                </c:pt>
                <c:pt idx="138">
                  <c:v>539.9</c:v>
                </c:pt>
                <c:pt idx="139">
                  <c:v>540.20000000000005</c:v>
                </c:pt>
                <c:pt idx="140">
                  <c:v>541.29999999999995</c:v>
                </c:pt>
                <c:pt idx="141">
                  <c:v>543.20000000000005</c:v>
                </c:pt>
                <c:pt idx="142">
                  <c:v>545.29999999999995</c:v>
                </c:pt>
                <c:pt idx="143">
                  <c:v>550.79999999999995</c:v>
                </c:pt>
                <c:pt idx="144">
                  <c:v>552.29999999999995</c:v>
                </c:pt>
                <c:pt idx="145">
                  <c:v>553.1</c:v>
                </c:pt>
                <c:pt idx="146">
                  <c:v>554.9</c:v>
                </c:pt>
                <c:pt idx="147">
                  <c:v>556.79999999999995</c:v>
                </c:pt>
                <c:pt idx="148">
                  <c:v>558.79999999999995</c:v>
                </c:pt>
                <c:pt idx="149">
                  <c:v>559.20000000000005</c:v>
                </c:pt>
                <c:pt idx="150">
                  <c:v>560.1</c:v>
                </c:pt>
                <c:pt idx="151">
                  <c:v>563.4</c:v>
                </c:pt>
                <c:pt idx="152">
                  <c:v>564.20000000000005</c:v>
                </c:pt>
                <c:pt idx="153">
                  <c:v>564.9</c:v>
                </c:pt>
                <c:pt idx="154">
                  <c:v>565.20000000000005</c:v>
                </c:pt>
                <c:pt idx="155">
                  <c:v>565.29999999999995</c:v>
                </c:pt>
                <c:pt idx="156">
                  <c:v>571.6</c:v>
                </c:pt>
                <c:pt idx="157">
                  <c:v>573.29999999999995</c:v>
                </c:pt>
                <c:pt idx="158">
                  <c:v>574.6</c:v>
                </c:pt>
                <c:pt idx="159">
                  <c:v>575</c:v>
                </c:pt>
                <c:pt idx="160">
                  <c:v>575.5</c:v>
                </c:pt>
                <c:pt idx="161">
                  <c:v>579.70000000000005</c:v>
                </c:pt>
                <c:pt idx="162">
                  <c:v>587.9</c:v>
                </c:pt>
                <c:pt idx="163">
                  <c:v>588.1</c:v>
                </c:pt>
                <c:pt idx="164">
                  <c:v>592.79999999999995</c:v>
                </c:pt>
                <c:pt idx="165">
                  <c:v>599.20000000000005</c:v>
                </c:pt>
                <c:pt idx="166">
                  <c:v>599.6</c:v>
                </c:pt>
                <c:pt idx="167">
                  <c:v>601.79999999999995</c:v>
                </c:pt>
                <c:pt idx="168">
                  <c:v>602.29999999999995</c:v>
                </c:pt>
                <c:pt idx="169">
                  <c:v>614.20000000000005</c:v>
                </c:pt>
                <c:pt idx="170">
                  <c:v>618.79999999999995</c:v>
                </c:pt>
                <c:pt idx="171">
                  <c:v>619.29999999999995</c:v>
                </c:pt>
                <c:pt idx="172">
                  <c:v>619.6</c:v>
                </c:pt>
                <c:pt idx="173">
                  <c:v>622.29999999999995</c:v>
                </c:pt>
                <c:pt idx="174">
                  <c:v>622.4</c:v>
                </c:pt>
                <c:pt idx="175">
                  <c:v>623.79999999999995</c:v>
                </c:pt>
                <c:pt idx="176">
                  <c:v>640</c:v>
                </c:pt>
                <c:pt idx="177">
                  <c:v>670.5</c:v>
                </c:pt>
                <c:pt idx="178">
                  <c:v>678.2</c:v>
                </c:pt>
              </c:numCache>
            </c:numRef>
          </c:val>
          <c:extLst>
            <c:ext xmlns:c16="http://schemas.microsoft.com/office/drawing/2014/chart" uri="{C3380CC4-5D6E-409C-BE32-E72D297353CC}">
              <c16:uniqueId val="{00000003-0CE3-4AEA-A754-149977CB5CDF}"/>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51"/>
                <c:pt idx="150">
                  <c:v>u</c:v>
                </c:pt>
              </c:strCache>
            </c:strRef>
          </c:cat>
          <c:val>
            <c:numRef>
              <c:f>[0]!MarkData</c:f>
              <c:numCache>
                <c:formatCode>0.00</c:formatCode>
                <c:ptCount val="179"/>
                <c:pt idx="0">
                  <c:v>269.39999999999998</c:v>
                </c:pt>
                <c:pt idx="1">
                  <c:v>299.8</c:v>
                </c:pt>
                <c:pt idx="2">
                  <c:v>307.3</c:v>
                </c:pt>
                <c:pt idx="3">
                  <c:v>325.2</c:v>
                </c:pt>
                <c:pt idx="4">
                  <c:v>326.89999999999998</c:v>
                </c:pt>
                <c:pt idx="5">
                  <c:v>333.6</c:v>
                </c:pt>
                <c:pt idx="6">
                  <c:v>335.5</c:v>
                </c:pt>
                <c:pt idx="7">
                  <c:v>336.3</c:v>
                </c:pt>
                <c:pt idx="8">
                  <c:v>350</c:v>
                </c:pt>
                <c:pt idx="9">
                  <c:v>355.9</c:v>
                </c:pt>
                <c:pt idx="10">
                  <c:v>357.6</c:v>
                </c:pt>
                <c:pt idx="11">
                  <c:v>358.4</c:v>
                </c:pt>
                <c:pt idx="12">
                  <c:v>364.9</c:v>
                </c:pt>
                <c:pt idx="13">
                  <c:v>369.6</c:v>
                </c:pt>
                <c:pt idx="14">
                  <c:v>373.4</c:v>
                </c:pt>
                <c:pt idx="15">
                  <c:v>376.8</c:v>
                </c:pt>
                <c:pt idx="16">
                  <c:v>378.2</c:v>
                </c:pt>
                <c:pt idx="17">
                  <c:v>379.6</c:v>
                </c:pt>
                <c:pt idx="18">
                  <c:v>387.2</c:v>
                </c:pt>
                <c:pt idx="19">
                  <c:v>388.9</c:v>
                </c:pt>
                <c:pt idx="20">
                  <c:v>389.2</c:v>
                </c:pt>
                <c:pt idx="21">
                  <c:v>392.7</c:v>
                </c:pt>
                <c:pt idx="22">
                  <c:v>398.3</c:v>
                </c:pt>
                <c:pt idx="23">
                  <c:v>403</c:v>
                </c:pt>
                <c:pt idx="24">
                  <c:v>403.1</c:v>
                </c:pt>
                <c:pt idx="25">
                  <c:v>404.6</c:v>
                </c:pt>
                <c:pt idx="26">
                  <c:v>405.9</c:v>
                </c:pt>
                <c:pt idx="27">
                  <c:v>411.9</c:v>
                </c:pt>
                <c:pt idx="28">
                  <c:v>412.7</c:v>
                </c:pt>
                <c:pt idx="29">
                  <c:v>413.2</c:v>
                </c:pt>
                <c:pt idx="30">
                  <c:v>416.3</c:v>
                </c:pt>
                <c:pt idx="31">
                  <c:v>420.5</c:v>
                </c:pt>
                <c:pt idx="32">
                  <c:v>423.1</c:v>
                </c:pt>
                <c:pt idx="33">
                  <c:v>425</c:v>
                </c:pt>
                <c:pt idx="34">
                  <c:v>425.8</c:v>
                </c:pt>
                <c:pt idx="35">
                  <c:v>425.8</c:v>
                </c:pt>
                <c:pt idx="36">
                  <c:v>425.8</c:v>
                </c:pt>
                <c:pt idx="37">
                  <c:v>426.2</c:v>
                </c:pt>
                <c:pt idx="38">
                  <c:v>426.5</c:v>
                </c:pt>
                <c:pt idx="39">
                  <c:v>427.6</c:v>
                </c:pt>
                <c:pt idx="40">
                  <c:v>428.5</c:v>
                </c:pt>
                <c:pt idx="41">
                  <c:v>431.5</c:v>
                </c:pt>
                <c:pt idx="42">
                  <c:v>432.5</c:v>
                </c:pt>
                <c:pt idx="43">
                  <c:v>434.5</c:v>
                </c:pt>
                <c:pt idx="44">
                  <c:v>436.8</c:v>
                </c:pt>
                <c:pt idx="45">
                  <c:v>438.3</c:v>
                </c:pt>
                <c:pt idx="46">
                  <c:v>438.4</c:v>
                </c:pt>
                <c:pt idx="47">
                  <c:v>439</c:v>
                </c:pt>
                <c:pt idx="48">
                  <c:v>439.2</c:v>
                </c:pt>
                <c:pt idx="49">
                  <c:v>439.9</c:v>
                </c:pt>
                <c:pt idx="50">
                  <c:v>440.8</c:v>
                </c:pt>
                <c:pt idx="51">
                  <c:v>441.1</c:v>
                </c:pt>
                <c:pt idx="52">
                  <c:v>444.7</c:v>
                </c:pt>
                <c:pt idx="53">
                  <c:v>445.7</c:v>
                </c:pt>
                <c:pt idx="54">
                  <c:v>447</c:v>
                </c:pt>
                <c:pt idx="55">
                  <c:v>448.1</c:v>
                </c:pt>
                <c:pt idx="56">
                  <c:v>449</c:v>
                </c:pt>
                <c:pt idx="57">
                  <c:v>449.3</c:v>
                </c:pt>
                <c:pt idx="58">
                  <c:v>452.6</c:v>
                </c:pt>
                <c:pt idx="59">
                  <c:v>457</c:v>
                </c:pt>
                <c:pt idx="60">
                  <c:v>458.2</c:v>
                </c:pt>
                <c:pt idx="61">
                  <c:v>458.6</c:v>
                </c:pt>
                <c:pt idx="62">
                  <c:v>459.1</c:v>
                </c:pt>
                <c:pt idx="63">
                  <c:v>459.6</c:v>
                </c:pt>
                <c:pt idx="64">
                  <c:v>460.1</c:v>
                </c:pt>
                <c:pt idx="65">
                  <c:v>461</c:v>
                </c:pt>
                <c:pt idx="66">
                  <c:v>462.5</c:v>
                </c:pt>
                <c:pt idx="67">
                  <c:v>464.6</c:v>
                </c:pt>
                <c:pt idx="68">
                  <c:v>465</c:v>
                </c:pt>
                <c:pt idx="69">
                  <c:v>465</c:v>
                </c:pt>
                <c:pt idx="70">
                  <c:v>466.3</c:v>
                </c:pt>
                <c:pt idx="71">
                  <c:v>466.3</c:v>
                </c:pt>
                <c:pt idx="72">
                  <c:v>469.1</c:v>
                </c:pt>
                <c:pt idx="73">
                  <c:v>472.7</c:v>
                </c:pt>
                <c:pt idx="74">
                  <c:v>474.8</c:v>
                </c:pt>
                <c:pt idx="75">
                  <c:v>475.2</c:v>
                </c:pt>
                <c:pt idx="76">
                  <c:v>475.2</c:v>
                </c:pt>
                <c:pt idx="77">
                  <c:v>475.6</c:v>
                </c:pt>
                <c:pt idx="78">
                  <c:v>476.6</c:v>
                </c:pt>
                <c:pt idx="79">
                  <c:v>477.6</c:v>
                </c:pt>
                <c:pt idx="80">
                  <c:v>477.9</c:v>
                </c:pt>
                <c:pt idx="81">
                  <c:v>479</c:v>
                </c:pt>
                <c:pt idx="82">
                  <c:v>479.1</c:v>
                </c:pt>
                <c:pt idx="83">
                  <c:v>480.3</c:v>
                </c:pt>
                <c:pt idx="84">
                  <c:v>482.7</c:v>
                </c:pt>
                <c:pt idx="85">
                  <c:v>486.2</c:v>
                </c:pt>
                <c:pt idx="86">
                  <c:v>486.3</c:v>
                </c:pt>
                <c:pt idx="87">
                  <c:v>487.6</c:v>
                </c:pt>
                <c:pt idx="88">
                  <c:v>488.8</c:v>
                </c:pt>
                <c:pt idx="89">
                  <c:v>490.9</c:v>
                </c:pt>
                <c:pt idx="90">
                  <c:v>490.9</c:v>
                </c:pt>
                <c:pt idx="91">
                  <c:v>491.5</c:v>
                </c:pt>
                <c:pt idx="92">
                  <c:v>493.4</c:v>
                </c:pt>
                <c:pt idx="93">
                  <c:v>495.4</c:v>
                </c:pt>
                <c:pt idx="94">
                  <c:v>495.7</c:v>
                </c:pt>
                <c:pt idx="95">
                  <c:v>496.1</c:v>
                </c:pt>
                <c:pt idx="96">
                  <c:v>497.2</c:v>
                </c:pt>
                <c:pt idx="97">
                  <c:v>497.3</c:v>
                </c:pt>
                <c:pt idx="98">
                  <c:v>501.5</c:v>
                </c:pt>
                <c:pt idx="99">
                  <c:v>502.2</c:v>
                </c:pt>
                <c:pt idx="100">
                  <c:v>503.3</c:v>
                </c:pt>
                <c:pt idx="101">
                  <c:v>503.4</c:v>
                </c:pt>
                <c:pt idx="102">
                  <c:v>504.7</c:v>
                </c:pt>
                <c:pt idx="103">
                  <c:v>504.9</c:v>
                </c:pt>
                <c:pt idx="104">
                  <c:v>505.6</c:v>
                </c:pt>
                <c:pt idx="105">
                  <c:v>505.7</c:v>
                </c:pt>
                <c:pt idx="106">
                  <c:v>507.9</c:v>
                </c:pt>
                <c:pt idx="107">
                  <c:v>508.6</c:v>
                </c:pt>
                <c:pt idx="108">
                  <c:v>509.3</c:v>
                </c:pt>
                <c:pt idx="109">
                  <c:v>510.3</c:v>
                </c:pt>
                <c:pt idx="110">
                  <c:v>511.5</c:v>
                </c:pt>
                <c:pt idx="111">
                  <c:v>511.8</c:v>
                </c:pt>
                <c:pt idx="112">
                  <c:v>511.9</c:v>
                </c:pt>
                <c:pt idx="113">
                  <c:v>512.1</c:v>
                </c:pt>
                <c:pt idx="114">
                  <c:v>512.70000000000005</c:v>
                </c:pt>
                <c:pt idx="115">
                  <c:v>515.5</c:v>
                </c:pt>
                <c:pt idx="116">
                  <c:v>518.20000000000005</c:v>
                </c:pt>
                <c:pt idx="117">
                  <c:v>522.5</c:v>
                </c:pt>
                <c:pt idx="118">
                  <c:v>523.29999999999995</c:v>
                </c:pt>
                <c:pt idx="119">
                  <c:v>524</c:v>
                </c:pt>
                <c:pt idx="120">
                  <c:v>524.29999999999995</c:v>
                </c:pt>
                <c:pt idx="121">
                  <c:v>525</c:v>
                </c:pt>
                <c:pt idx="122">
                  <c:v>525.1</c:v>
                </c:pt>
                <c:pt idx="123">
                  <c:v>525.1</c:v>
                </c:pt>
                <c:pt idx="124">
                  <c:v>527.4</c:v>
                </c:pt>
                <c:pt idx="125">
                  <c:v>527.70000000000005</c:v>
                </c:pt>
                <c:pt idx="126">
                  <c:v>528.4</c:v>
                </c:pt>
                <c:pt idx="127">
                  <c:v>528.70000000000005</c:v>
                </c:pt>
                <c:pt idx="128">
                  <c:v>530.5</c:v>
                </c:pt>
                <c:pt idx="129">
                  <c:v>532.1</c:v>
                </c:pt>
                <c:pt idx="130">
                  <c:v>532.6</c:v>
                </c:pt>
                <c:pt idx="131">
                  <c:v>534.70000000000005</c:v>
                </c:pt>
                <c:pt idx="132">
                  <c:v>538.20000000000005</c:v>
                </c:pt>
                <c:pt idx="133">
                  <c:v>538.29999999999995</c:v>
                </c:pt>
                <c:pt idx="134">
                  <c:v>538.79999999999995</c:v>
                </c:pt>
                <c:pt idx="135">
                  <c:v>539</c:v>
                </c:pt>
                <c:pt idx="136">
                  <c:v>539.20000000000005</c:v>
                </c:pt>
                <c:pt idx="137">
                  <c:v>539.6</c:v>
                </c:pt>
                <c:pt idx="138">
                  <c:v>539.9</c:v>
                </c:pt>
                <c:pt idx="139">
                  <c:v>540.20000000000005</c:v>
                </c:pt>
                <c:pt idx="140">
                  <c:v>541.29999999999995</c:v>
                </c:pt>
                <c:pt idx="141">
                  <c:v>543.20000000000005</c:v>
                </c:pt>
                <c:pt idx="142">
                  <c:v>545.29999999999995</c:v>
                </c:pt>
                <c:pt idx="143">
                  <c:v>550.79999999999995</c:v>
                </c:pt>
                <c:pt idx="144">
                  <c:v>552.29999999999995</c:v>
                </c:pt>
                <c:pt idx="145">
                  <c:v>553.1</c:v>
                </c:pt>
                <c:pt idx="146">
                  <c:v>554.9</c:v>
                </c:pt>
                <c:pt idx="147">
                  <c:v>556.79999999999995</c:v>
                </c:pt>
                <c:pt idx="148">
                  <c:v>558.79999999999995</c:v>
                </c:pt>
                <c:pt idx="149">
                  <c:v>559.20000000000005</c:v>
                </c:pt>
                <c:pt idx="150">
                  <c:v>560.1</c:v>
                </c:pt>
                <c:pt idx="151">
                  <c:v>563.4</c:v>
                </c:pt>
                <c:pt idx="152">
                  <c:v>564.20000000000005</c:v>
                </c:pt>
                <c:pt idx="153">
                  <c:v>564.9</c:v>
                </c:pt>
                <c:pt idx="154">
                  <c:v>565.20000000000005</c:v>
                </c:pt>
                <c:pt idx="155">
                  <c:v>565.29999999999995</c:v>
                </c:pt>
                <c:pt idx="156">
                  <c:v>571.6</c:v>
                </c:pt>
                <c:pt idx="157">
                  <c:v>573.29999999999995</c:v>
                </c:pt>
                <c:pt idx="158">
                  <c:v>574.6</c:v>
                </c:pt>
                <c:pt idx="159">
                  <c:v>575</c:v>
                </c:pt>
                <c:pt idx="160">
                  <c:v>575.5</c:v>
                </c:pt>
                <c:pt idx="161">
                  <c:v>579.70000000000005</c:v>
                </c:pt>
                <c:pt idx="162">
                  <c:v>587.9</c:v>
                </c:pt>
                <c:pt idx="163">
                  <c:v>588.1</c:v>
                </c:pt>
                <c:pt idx="164">
                  <c:v>592.79999999999995</c:v>
                </c:pt>
                <c:pt idx="165">
                  <c:v>599.20000000000005</c:v>
                </c:pt>
                <c:pt idx="166">
                  <c:v>599.6</c:v>
                </c:pt>
                <c:pt idx="167">
                  <c:v>601.79999999999995</c:v>
                </c:pt>
                <c:pt idx="168">
                  <c:v>602.29999999999995</c:v>
                </c:pt>
                <c:pt idx="169">
                  <c:v>614.20000000000005</c:v>
                </c:pt>
                <c:pt idx="170">
                  <c:v>618.79999999999995</c:v>
                </c:pt>
                <c:pt idx="171">
                  <c:v>619.29999999999995</c:v>
                </c:pt>
                <c:pt idx="172">
                  <c:v>619.6</c:v>
                </c:pt>
                <c:pt idx="173">
                  <c:v>622.29999999999995</c:v>
                </c:pt>
                <c:pt idx="174">
                  <c:v>622.4</c:v>
                </c:pt>
                <c:pt idx="175">
                  <c:v>623.79999999999995</c:v>
                </c:pt>
                <c:pt idx="176">
                  <c:v>640</c:v>
                </c:pt>
                <c:pt idx="177">
                  <c:v>670.5</c:v>
                </c:pt>
                <c:pt idx="178">
                  <c:v>678.2</c:v>
                </c:pt>
              </c:numCache>
            </c:numRef>
          </c:val>
          <c:extLst>
            <c:ext xmlns:c16="http://schemas.microsoft.com/office/drawing/2014/chart" uri="{C3380CC4-5D6E-409C-BE32-E72D297353CC}">
              <c16:uniqueId val="{00000004-0CE3-4AEA-A754-149977CB5CDF}"/>
            </c:ext>
          </c:extLst>
        </c:ser>
        <c:dLbls>
          <c:showLegendKey val="0"/>
          <c:showVal val="0"/>
          <c:showCatName val="0"/>
          <c:showSerName val="0"/>
          <c:showPercent val="0"/>
          <c:showBubbleSize val="0"/>
        </c:dLbls>
        <c:gapWidth val="0"/>
        <c:overlap val="100"/>
        <c:axId val="119569408"/>
        <c:axId val="132641536"/>
      </c:barChart>
      <c:catAx>
        <c:axId val="119569408"/>
        <c:scaling>
          <c:orientation val="minMax"/>
        </c:scaling>
        <c:delete val="0"/>
        <c:axPos val="b"/>
        <c:numFmt formatCode="General" sourceLinked="1"/>
        <c:majorTickMark val="none"/>
        <c:minorTickMark val="none"/>
        <c:tickLblPos val="none"/>
        <c:crossAx val="132641536"/>
        <c:crosses val="autoZero"/>
        <c:auto val="1"/>
        <c:lblAlgn val="ctr"/>
        <c:lblOffset val="100"/>
        <c:noMultiLvlLbl val="0"/>
      </c:catAx>
      <c:valAx>
        <c:axId val="132641536"/>
        <c:scaling>
          <c:orientation val="minMax"/>
        </c:scaling>
        <c:delete val="0"/>
        <c:axPos val="l"/>
        <c:numFmt formatCode="0" sourceLinked="0"/>
        <c:majorTickMark val="out"/>
        <c:minorTickMark val="none"/>
        <c:tickLblPos val="nextTo"/>
        <c:txPr>
          <a:bodyPr rot="0" vert="horz"/>
          <a:lstStyle/>
          <a:p>
            <a:pPr>
              <a:defRPr/>
            </a:pPr>
            <a:endParaRPr lang="en-US"/>
          </a:p>
        </c:txPr>
        <c:crossAx val="119569408"/>
        <c:crosses val="autoZero"/>
        <c:crossBetween val="between"/>
      </c:valAx>
      <c:spPr>
        <a:ln>
          <a:noFill/>
        </a:ln>
      </c:spPr>
    </c:plotArea>
    <c:plotVisOnly val="1"/>
    <c:dispBlanksAs val="gap"/>
    <c:showDLblsOverMax val="0"/>
  </c:chart>
  <c:spPr>
    <a:ln>
      <a:noFill/>
    </a:ln>
  </c:spPr>
  <c:printSettings>
    <c:headerFooter alignWithMargins="0"/>
    <c:pageMargins b="0.75000000000000455" l="0.70000000000000062" r="0.70000000000000062" t="0.750000000000004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16"/>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0DD1-4BF1-8D2C-3BC9CB8ECDC0}"/>
              </c:ext>
            </c:extLst>
          </c:dPt>
          <c:cat>
            <c:strRef>
              <c:f>Profile!$D$48:$D$53</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560.1</c:v>
                </c:pt>
                <c:pt idx="1">
                  <c:v>485.81005586592187</c:v>
                </c:pt>
                <c:pt idx="2">
                  <c:v>532.93333333333328</c:v>
                </c:pt>
                <c:pt idx="3">
                  <c:v>464.80769230769232</c:v>
                </c:pt>
              </c:numCache>
            </c:numRef>
          </c:val>
          <c:extLst>
            <c:ext xmlns:c16="http://schemas.microsoft.com/office/drawing/2014/chart" uri="{C3380CC4-5D6E-409C-BE32-E72D297353CC}">
              <c16:uniqueId val="{00000001-0DD1-4BF1-8D2C-3BC9CB8ECDC0}"/>
            </c:ext>
          </c:extLst>
        </c:ser>
        <c:dLbls>
          <c:showLegendKey val="0"/>
          <c:showVal val="0"/>
          <c:showCatName val="0"/>
          <c:showSerName val="0"/>
          <c:showPercent val="0"/>
          <c:showBubbleSize val="0"/>
        </c:dLbls>
        <c:gapWidth val="39"/>
        <c:overlap val="100"/>
        <c:axId val="133469312"/>
        <c:axId val="133471232"/>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437.55</c:v>
                </c:pt>
                <c:pt idx="1">
                  <c:v>437.55</c:v>
                </c:pt>
                <c:pt idx="2">
                  <c:v>437.55</c:v>
                </c:pt>
                <c:pt idx="3">
                  <c:v>437.55</c:v>
                </c:pt>
              </c:numCache>
            </c:numRef>
          </c:val>
          <c:smooth val="0"/>
          <c:extLst>
            <c:ext xmlns:c16="http://schemas.microsoft.com/office/drawing/2014/chart" uri="{C3380CC4-5D6E-409C-BE32-E72D297353CC}">
              <c16:uniqueId val="{00000002-0DD1-4BF1-8D2C-3BC9CB8ECDC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490.9</c:v>
                </c:pt>
                <c:pt idx="1">
                  <c:v>490.9</c:v>
                </c:pt>
                <c:pt idx="2">
                  <c:v>490.9</c:v>
                </c:pt>
                <c:pt idx="3">
                  <c:v>490.9</c:v>
                </c:pt>
              </c:numCache>
            </c:numRef>
          </c:val>
          <c:smooth val="0"/>
          <c:extLst>
            <c:ext xmlns:c16="http://schemas.microsoft.com/office/drawing/2014/chart" uri="{C3380CC4-5D6E-409C-BE32-E72D297353CC}">
              <c16:uniqueId val="{00000003-0DD1-4BF1-8D2C-3BC9CB8ECDC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538.54999999999995</c:v>
                </c:pt>
                <c:pt idx="1">
                  <c:v>538.54999999999995</c:v>
                </c:pt>
                <c:pt idx="2">
                  <c:v>538.54999999999995</c:v>
                </c:pt>
                <c:pt idx="3">
                  <c:v>538.54999999999995</c:v>
                </c:pt>
              </c:numCache>
            </c:numRef>
          </c:val>
          <c:smooth val="0"/>
          <c:extLst>
            <c:ext xmlns:c16="http://schemas.microsoft.com/office/drawing/2014/chart" uri="{C3380CC4-5D6E-409C-BE32-E72D297353CC}">
              <c16:uniqueId val="{00000004-0DD1-4BF1-8D2C-3BC9CB8ECDC0}"/>
            </c:ext>
          </c:extLst>
        </c:ser>
        <c:dLbls>
          <c:showLegendKey val="0"/>
          <c:showVal val="0"/>
          <c:showCatName val="0"/>
          <c:showSerName val="0"/>
          <c:showPercent val="0"/>
          <c:showBubbleSize val="0"/>
        </c:dLbls>
        <c:marker val="1"/>
        <c:smooth val="0"/>
        <c:axId val="133469312"/>
        <c:axId val="133471232"/>
      </c:lineChart>
      <c:catAx>
        <c:axId val="1334693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3471232"/>
        <c:crosses val="autoZero"/>
        <c:auto val="1"/>
        <c:lblAlgn val="ctr"/>
        <c:lblOffset val="100"/>
        <c:noMultiLvlLbl val="0"/>
      </c:catAx>
      <c:valAx>
        <c:axId val="133471232"/>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3469312"/>
        <c:crosses val="autoZero"/>
        <c:crossBetween val="between"/>
      </c:valAx>
    </c:plotArea>
    <c:legend>
      <c:legendPos val="b"/>
      <c:legendEntry>
        <c:idx val="0"/>
        <c:delete val="1"/>
      </c:legendEntry>
      <c:layout>
        <c:manualLayout>
          <c:xMode val="edge"/>
          <c:yMode val="edge"/>
          <c:x val="0.10120783739241844"/>
          <c:y val="0.90916944591436144"/>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37E-2"/>
          <c:y val="6.0725521892544924E-2"/>
          <c:w val="0.93589299789538694"/>
          <c:h val="0.666603744068419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1420-4892-AC89-79AA32963E00}"/>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560.1</c:v>
                </c:pt>
                <c:pt idx="1">
                  <c:v>472.83043478260873</c:v>
                </c:pt>
                <c:pt idx="2">
                  <c:v>497.78</c:v>
                </c:pt>
                <c:pt idx="3">
                  <c:v>487.25250000000005</c:v>
                </c:pt>
              </c:numCache>
            </c:numRef>
          </c:val>
          <c:extLst>
            <c:ext xmlns:c16="http://schemas.microsoft.com/office/drawing/2014/chart" uri="{C3380CC4-5D6E-409C-BE32-E72D297353CC}">
              <c16:uniqueId val="{00000001-1420-4892-AC89-79AA32963E00}"/>
            </c:ext>
          </c:extLst>
        </c:ser>
        <c:dLbls>
          <c:showLegendKey val="0"/>
          <c:showVal val="0"/>
          <c:showCatName val="0"/>
          <c:showSerName val="0"/>
          <c:showPercent val="0"/>
          <c:showBubbleSize val="0"/>
        </c:dLbls>
        <c:gapWidth val="39"/>
        <c:overlap val="100"/>
        <c:axId val="143955840"/>
        <c:axId val="14456870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437.55</c:v>
                </c:pt>
                <c:pt idx="1">
                  <c:v>437.55</c:v>
                </c:pt>
                <c:pt idx="2">
                  <c:v>437.55</c:v>
                </c:pt>
                <c:pt idx="3">
                  <c:v>437.55</c:v>
                </c:pt>
              </c:numCache>
            </c:numRef>
          </c:val>
          <c:smooth val="0"/>
          <c:extLst>
            <c:ext xmlns:c16="http://schemas.microsoft.com/office/drawing/2014/chart" uri="{C3380CC4-5D6E-409C-BE32-E72D297353CC}">
              <c16:uniqueId val="{00000002-1420-4892-AC89-79AA32963E00}"/>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490.9</c:v>
                </c:pt>
                <c:pt idx="1">
                  <c:v>490.9</c:v>
                </c:pt>
                <c:pt idx="2">
                  <c:v>490.9</c:v>
                </c:pt>
                <c:pt idx="3">
                  <c:v>490.9</c:v>
                </c:pt>
              </c:numCache>
            </c:numRef>
          </c:val>
          <c:smooth val="0"/>
          <c:extLst>
            <c:ext xmlns:c16="http://schemas.microsoft.com/office/drawing/2014/chart" uri="{C3380CC4-5D6E-409C-BE32-E72D297353CC}">
              <c16:uniqueId val="{00000003-1420-4892-AC89-79AA32963E00}"/>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538.54999999999995</c:v>
                </c:pt>
                <c:pt idx="1">
                  <c:v>538.54999999999995</c:v>
                </c:pt>
                <c:pt idx="2">
                  <c:v>538.54999999999995</c:v>
                </c:pt>
                <c:pt idx="3">
                  <c:v>538.54999999999995</c:v>
                </c:pt>
              </c:numCache>
            </c:numRef>
          </c:val>
          <c:smooth val="0"/>
          <c:extLst>
            <c:ext xmlns:c16="http://schemas.microsoft.com/office/drawing/2014/chart" uri="{C3380CC4-5D6E-409C-BE32-E72D297353CC}">
              <c16:uniqueId val="{00000004-1420-4892-AC89-79AA32963E00}"/>
            </c:ext>
          </c:extLst>
        </c:ser>
        <c:dLbls>
          <c:showLegendKey val="0"/>
          <c:showVal val="0"/>
          <c:showCatName val="0"/>
          <c:showSerName val="0"/>
          <c:showPercent val="0"/>
          <c:showBubbleSize val="0"/>
        </c:dLbls>
        <c:marker val="1"/>
        <c:smooth val="0"/>
        <c:axId val="143955840"/>
        <c:axId val="144568704"/>
      </c:lineChart>
      <c:catAx>
        <c:axId val="1439558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44568704"/>
        <c:crosses val="autoZero"/>
        <c:auto val="1"/>
        <c:lblAlgn val="ctr"/>
        <c:lblOffset val="100"/>
        <c:noMultiLvlLbl val="0"/>
      </c:catAx>
      <c:valAx>
        <c:axId val="14456870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395584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86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8" width="3" customWidth="1"/>
    <col min="19" max="21" width="2.44140625" customWidth="1"/>
    <col min="22" max="23" width="2.88671875" customWidth="1"/>
    <col min="24" max="39" width="2.44140625" customWidth="1"/>
    <col min="40" max="40" width="2.33203125" customWidth="1"/>
    <col min="41" max="41" width="3" customWidth="1"/>
  </cols>
  <sheetData>
    <row r="1" spans="2:40" ht="19.5" customHeight="1">
      <c r="B1" s="344" t="str">
        <f>VLOOKUP('Filtered Data'!D1,'Filtered Data'!L1:O6,3,FALSE)</f>
        <v>District</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row>
    <row r="2" spans="2:40"/>
    <row r="3" spans="2:40" ht="19.5" customHeight="1">
      <c r="B3" s="336" t="str">
        <f>Data!B3</f>
        <v>Waste Management Indicators</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row>
    <row r="4" spans="2:40">
      <c r="D4" s="3"/>
      <c r="E4" s="3"/>
    </row>
    <row r="5" spans="2:40" ht="15.75" customHeight="1">
      <c r="B5" s="324" t="s">
        <v>334</v>
      </c>
      <c r="C5" s="324"/>
      <c r="D5" s="324"/>
      <c r="E5" s="324"/>
      <c r="J5" s="328" t="s">
        <v>6</v>
      </c>
      <c r="K5" s="328"/>
      <c r="L5" s="328"/>
      <c r="M5" s="328"/>
      <c r="N5" s="328"/>
      <c r="O5" s="328"/>
      <c r="P5" s="328"/>
      <c r="Q5" s="328"/>
      <c r="R5" s="328"/>
      <c r="S5" s="328"/>
      <c r="W5" s="307" t="s">
        <v>361</v>
      </c>
      <c r="X5" s="308"/>
      <c r="Y5" s="308"/>
      <c r="Z5" s="308"/>
      <c r="AA5" s="308"/>
      <c r="AB5" s="308"/>
      <c r="AC5" s="308"/>
      <c r="AD5" s="308"/>
      <c r="AE5" s="308"/>
      <c r="AF5" s="308"/>
      <c r="AG5" s="308"/>
      <c r="AH5" s="308"/>
      <c r="AI5" s="308"/>
      <c r="AJ5" s="308"/>
      <c r="AK5" s="308"/>
      <c r="AL5" s="308"/>
      <c r="AM5" s="309"/>
    </row>
    <row r="6" spans="2:40" ht="17.25" customHeight="1">
      <c r="J6" s="328"/>
      <c r="K6" s="328"/>
      <c r="L6" s="328"/>
      <c r="M6" s="328"/>
      <c r="N6" s="328"/>
      <c r="O6" s="328"/>
      <c r="P6" s="328"/>
      <c r="Q6" s="328"/>
      <c r="R6" s="328"/>
      <c r="S6" s="328"/>
      <c r="W6" s="310" t="s">
        <v>892</v>
      </c>
      <c r="X6" s="311"/>
      <c r="Y6" s="311"/>
      <c r="Z6" s="311"/>
      <c r="AA6" s="311"/>
      <c r="AB6" s="311"/>
      <c r="AC6" s="311"/>
      <c r="AD6" s="311"/>
      <c r="AE6" s="311"/>
      <c r="AF6" s="311"/>
      <c r="AG6" s="311"/>
      <c r="AH6" s="311"/>
      <c r="AI6" s="311"/>
      <c r="AJ6" s="311"/>
      <c r="AK6" s="311"/>
      <c r="AL6" s="311"/>
      <c r="AM6" s="312"/>
    </row>
    <row r="7" spans="2:40" ht="12.75" customHeight="1">
      <c r="W7" s="310"/>
      <c r="X7" s="311"/>
      <c r="Y7" s="311"/>
      <c r="Z7" s="311"/>
      <c r="AA7" s="311"/>
      <c r="AB7" s="311"/>
      <c r="AC7" s="311"/>
      <c r="AD7" s="311"/>
      <c r="AE7" s="311"/>
      <c r="AF7" s="311"/>
      <c r="AG7" s="311"/>
      <c r="AH7" s="311"/>
      <c r="AI7" s="311"/>
      <c r="AJ7" s="311"/>
      <c r="AK7" s="311"/>
      <c r="AL7" s="311"/>
      <c r="AM7" s="312"/>
    </row>
    <row r="8" spans="2:40" ht="12.75" customHeight="1">
      <c r="B8" s="329" t="str">
        <f>IF('Filtered Data'!D1="L","County:","Type of Authority:")</f>
        <v>Type of Authority:</v>
      </c>
      <c r="C8" s="302"/>
      <c r="D8" s="302"/>
      <c r="E8" s="302"/>
      <c r="F8" s="302"/>
      <c r="G8" s="302"/>
      <c r="H8" s="302"/>
      <c r="I8" s="302"/>
      <c r="J8" s="79" t="str">
        <f>IF('Filtered Data'!D1="L",'Filtered Data'!I3,VLOOKUP('Filtered Data'!D1,'Filtered Data'!L1:O5,3,FALSE))</f>
        <v>District</v>
      </c>
      <c r="K8" s="79"/>
      <c r="L8" s="79"/>
      <c r="M8" s="79"/>
      <c r="N8" s="79"/>
      <c r="O8" s="79"/>
      <c r="P8" s="79"/>
      <c r="Q8" s="79"/>
      <c r="R8" s="79"/>
      <c r="W8" s="310"/>
      <c r="X8" s="311"/>
      <c r="Y8" s="311"/>
      <c r="Z8" s="311"/>
      <c r="AA8" s="311"/>
      <c r="AB8" s="311"/>
      <c r="AC8" s="311"/>
      <c r="AD8" s="311"/>
      <c r="AE8" s="311"/>
      <c r="AF8" s="311"/>
      <c r="AG8" s="311"/>
      <c r="AH8" s="311"/>
      <c r="AI8" s="311"/>
      <c r="AJ8" s="311"/>
      <c r="AK8" s="311"/>
      <c r="AL8" s="311"/>
      <c r="AM8" s="312"/>
    </row>
    <row r="9" spans="2:40" ht="12.75" customHeight="1">
      <c r="B9" s="329" t="str">
        <f>IF('Filtered Data'!D1="L","Rural Classification:","Region:")</f>
        <v>Region:</v>
      </c>
      <c r="C9" s="302"/>
      <c r="D9" s="302"/>
      <c r="E9" s="302"/>
      <c r="F9" s="302"/>
      <c r="G9" s="302"/>
      <c r="H9" s="302"/>
      <c r="I9" s="302"/>
      <c r="J9" s="79" t="str">
        <f>IF('Filtered Data'!D1="L",'Filtered Data'!H3,'Filtered Data'!G3)</f>
        <v>North West</v>
      </c>
      <c r="K9" s="79"/>
      <c r="L9" s="79"/>
      <c r="M9" s="79"/>
      <c r="N9" s="79"/>
      <c r="O9" s="79"/>
      <c r="P9" s="79"/>
      <c r="Q9" s="79"/>
      <c r="R9" s="79"/>
      <c r="W9" s="310"/>
      <c r="X9" s="311"/>
      <c r="Y9" s="311"/>
      <c r="Z9" s="311"/>
      <c r="AA9" s="311"/>
      <c r="AB9" s="311"/>
      <c r="AC9" s="311"/>
      <c r="AD9" s="311"/>
      <c r="AE9" s="311"/>
      <c r="AF9" s="311"/>
      <c r="AG9" s="311"/>
      <c r="AH9" s="311"/>
      <c r="AI9" s="311"/>
      <c r="AJ9" s="311"/>
      <c r="AK9" s="311"/>
      <c r="AL9" s="311"/>
      <c r="AM9" s="312"/>
    </row>
    <row r="10" spans="2:40" ht="12.75" customHeight="1">
      <c r="B10" s="302" t="str">
        <f>IF('Filtered Data'!D1="L","",IF('Filtered Data'!D1="SC","Rural Classification:",IF('Filtered Data'!D1="UA","Rural Classification:","County:")))</f>
        <v>County:</v>
      </c>
      <c r="C10" s="302"/>
      <c r="D10" s="302"/>
      <c r="E10" s="302"/>
      <c r="F10" s="302"/>
      <c r="G10" s="302"/>
      <c r="H10" s="302"/>
      <c r="I10" s="302"/>
      <c r="J10" s="292" t="str">
        <f>IF('Filtered Data'!D1="L","",IF('Filtered Data'!D1="MD",'Filtered Data'!I3,IF('Filtered Data'!D1="SD",'Filtered Data'!I3,'Filtered Data'!H3)))</f>
        <v>Cumbria</v>
      </c>
      <c r="K10" s="292"/>
      <c r="L10" s="292"/>
      <c r="M10" s="292"/>
      <c r="N10" s="292"/>
      <c r="O10" s="292"/>
      <c r="P10" s="292"/>
      <c r="Q10" s="292"/>
      <c r="R10" s="292"/>
      <c r="W10" s="310"/>
      <c r="X10" s="311"/>
      <c r="Y10" s="311"/>
      <c r="Z10" s="311"/>
      <c r="AA10" s="311"/>
      <c r="AB10" s="311"/>
      <c r="AC10" s="311"/>
      <c r="AD10" s="311"/>
      <c r="AE10" s="311"/>
      <c r="AF10" s="311"/>
      <c r="AG10" s="311"/>
      <c r="AH10" s="311"/>
      <c r="AI10" s="311"/>
      <c r="AJ10" s="311"/>
      <c r="AK10" s="311"/>
      <c r="AL10" s="311"/>
      <c r="AM10" s="312"/>
    </row>
    <row r="11" spans="2:40" ht="12.75" customHeight="1">
      <c r="B11" s="302" t="str">
        <f>IF('Filtered Data'!D1="L","",IF('Filtered Data'!D1="SC","",IF('Filtered Data'!D1="UA","","Rural Classification:")))</f>
        <v>Rural Classification:</v>
      </c>
      <c r="C11" s="302"/>
      <c r="D11" s="302"/>
      <c r="E11" s="302"/>
      <c r="F11" s="302"/>
      <c r="G11" s="302"/>
      <c r="H11" s="302"/>
      <c r="I11" s="302"/>
      <c r="J11" s="79" t="str">
        <f>IF('Filtered Data'!D1="MD",'Filtered Data'!H3,IF('Filtered Data'!D1="SD",'Filtered Data'!H3,""))</f>
        <v xml:space="preserve">Mainly Rural (rural including hub towns &gt;=80%) </v>
      </c>
      <c r="K11" s="79"/>
      <c r="W11" s="316" t="s">
        <v>364</v>
      </c>
      <c r="X11" s="317"/>
      <c r="Y11" s="317"/>
      <c r="Z11" s="317"/>
      <c r="AA11" s="317"/>
      <c r="AB11" s="317"/>
      <c r="AC11" s="317"/>
      <c r="AD11" s="317"/>
      <c r="AE11" s="317"/>
      <c r="AF11" s="317"/>
      <c r="AG11" s="317"/>
      <c r="AH11" s="317"/>
      <c r="AI11" s="317"/>
      <c r="AJ11" s="317"/>
      <c r="AK11" s="317"/>
      <c r="AL11" s="317"/>
      <c r="AM11" s="318"/>
    </row>
    <row r="12" spans="2:40" ht="12.75" customHeight="1">
      <c r="W12" s="355" t="s">
        <v>915</v>
      </c>
      <c r="X12" s="356"/>
      <c r="Y12" s="356"/>
      <c r="Z12" s="356"/>
      <c r="AA12" s="356"/>
      <c r="AB12" s="356"/>
      <c r="AC12" s="356"/>
      <c r="AD12" s="356"/>
      <c r="AE12" s="356"/>
      <c r="AF12" s="356"/>
      <c r="AG12" s="356"/>
      <c r="AH12" s="356"/>
      <c r="AI12" s="356"/>
      <c r="AJ12" s="356"/>
      <c r="AK12" s="356"/>
      <c r="AL12" s="356"/>
      <c r="AM12" s="357"/>
    </row>
    <row r="13" spans="2:40" ht="12.75" customHeight="1">
      <c r="B13" s="25"/>
      <c r="C13" s="25"/>
      <c r="D13" s="25"/>
      <c r="E13" s="25"/>
      <c r="F13" s="25"/>
      <c r="G13" s="25"/>
      <c r="H13" s="25"/>
      <c r="I13" s="25"/>
      <c r="J13" s="3"/>
      <c r="K13" s="3"/>
      <c r="L13" s="3"/>
      <c r="M13" s="3"/>
      <c r="N13" s="3"/>
      <c r="O13" s="3"/>
      <c r="P13" s="3"/>
      <c r="Q13" s="3"/>
      <c r="R13" s="3"/>
      <c r="W13" s="303" t="s">
        <v>365</v>
      </c>
      <c r="X13" s="304"/>
      <c r="Y13" s="304"/>
      <c r="Z13" s="304"/>
      <c r="AA13" s="304"/>
      <c r="AB13" s="304"/>
      <c r="AC13" s="304"/>
      <c r="AD13" s="304"/>
      <c r="AE13" s="304"/>
      <c r="AF13" s="304"/>
      <c r="AG13" s="304"/>
      <c r="AH13" s="304"/>
      <c r="AI13" s="304"/>
      <c r="AJ13" s="304"/>
      <c r="AK13" s="304"/>
      <c r="AL13" s="304"/>
      <c r="AM13" s="305"/>
    </row>
    <row r="14" spans="2:40" ht="25.5" customHeight="1">
      <c r="B14" s="25"/>
      <c r="C14" s="25"/>
      <c r="D14" s="25"/>
      <c r="E14" s="25"/>
      <c r="F14" s="25"/>
      <c r="G14" s="25"/>
      <c r="H14" s="25"/>
      <c r="I14" s="25"/>
      <c r="J14" s="3"/>
      <c r="K14" s="3"/>
      <c r="L14" s="3"/>
      <c r="M14" s="3"/>
      <c r="N14" s="3"/>
      <c r="O14" s="3"/>
      <c r="P14" s="3"/>
      <c r="Q14" s="3"/>
      <c r="R14" s="3"/>
      <c r="W14" s="313" t="str">
        <f>HLOOKUP(W6,Data!4:6,3,FALSE)</f>
        <v>ENV18 - DEFRA</v>
      </c>
      <c r="X14" s="314"/>
      <c r="Y14" s="314"/>
      <c r="Z14" s="314"/>
      <c r="AA14" s="314"/>
      <c r="AB14" s="314"/>
      <c r="AC14" s="314"/>
      <c r="AD14" s="314"/>
      <c r="AE14" s="314"/>
      <c r="AF14" s="314"/>
      <c r="AG14" s="314"/>
      <c r="AH14" s="314"/>
      <c r="AI14" s="314"/>
      <c r="AJ14" s="314"/>
      <c r="AK14" s="314"/>
      <c r="AL14" s="314"/>
      <c r="AM14" s="315"/>
    </row>
    <row r="15" spans="2:40"/>
    <row r="16" spans="2:40">
      <c r="B16" s="294" t="str">
        <f>W6&amp;" - "&amp;W12</f>
        <v>Residual household waste per household (kg/household) (Ex NI191) - 2020-21</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321"/>
    </row>
    <row r="17" spans="2:42">
      <c r="B17" s="296"/>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322"/>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26" t="s">
        <v>340</v>
      </c>
      <c r="F32" s="327"/>
      <c r="G32" s="327"/>
      <c r="H32" s="327"/>
      <c r="I32" s="327"/>
      <c r="J32" s="327"/>
      <c r="K32" s="325">
        <f>IF('Filtered Data'!$H$8="..",'Filtered Data'!O10,'Filtered Data'!O10/100)</f>
        <v>437.55</v>
      </c>
      <c r="L32" s="325"/>
      <c r="M32" s="325"/>
      <c r="N32" s="339" t="s">
        <v>351</v>
      </c>
      <c r="O32" s="339"/>
      <c r="P32" s="339"/>
      <c r="Q32" s="339"/>
      <c r="R32" s="339"/>
      <c r="S32" s="339"/>
      <c r="T32" s="325">
        <f>IF('Filtered Data'!$H$8="..",'Filtered Data'!P10,'Filtered Data'!P10/100)</f>
        <v>490.9</v>
      </c>
      <c r="U32" s="325"/>
      <c r="V32" s="325"/>
      <c r="W32" s="325"/>
      <c r="X32" s="323" t="s">
        <v>352</v>
      </c>
      <c r="Y32" s="323"/>
      <c r="Z32" s="323"/>
      <c r="AA32" s="323"/>
      <c r="AB32" s="323"/>
      <c r="AC32" s="325">
        <f>IF('Filtered Data'!$H$8="..",'Filtered Data'!Q10,'Filtered Data'!Q10/100)</f>
        <v>538.54999999999995</v>
      </c>
      <c r="AD32" s="325"/>
      <c r="AE32" s="325"/>
      <c r="AF32" s="306" t="s">
        <v>341</v>
      </c>
      <c r="AG32" s="306"/>
      <c r="AH32" s="306"/>
      <c r="AI32" s="306"/>
      <c r="AJ32" s="306"/>
      <c r="AK32" s="306"/>
      <c r="AL32" s="306"/>
      <c r="AM32" s="10"/>
      <c r="AP32" s="85"/>
    </row>
    <row r="33" spans="2:16384">
      <c r="B33" s="4" t="str">
        <f>"The graph &amp; quartile information show data for all "&amp;V37&amp;" "&amp;VLOOKUP('Filtered Data'!D1,'Filtered Data'!L1:O6,3,FALSE)&amp;" councils in England."</f>
        <v>The graph &amp; quartile information show data for all 179 District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Allerdale</v>
      </c>
      <c r="C35" s="133"/>
      <c r="D35" s="133"/>
      <c r="E35" s="133"/>
      <c r="F35" s="133"/>
      <c r="G35" s="133"/>
      <c r="H35" s="133"/>
      <c r="I35" s="133"/>
      <c r="J35" s="133"/>
      <c r="K35" s="134" t="s">
        <v>355</v>
      </c>
      <c r="L35" s="320">
        <f>IF(ISERROR(IF('Filtered Data'!$H$8="%.",(VLOOKUP(J5,'Filtered Data'!C:H,4,FALSE))/100,(VLOOKUP(J5,'Filtered Data'!C:H,4,FALSE)))),"",(IF('Filtered Data'!$H$8="%.",(VLOOKUP(J5,'Filtered Data'!C:H,4,FALSE))/100,(VLOOKUP(J5,'Filtered Data'!C:H,4,FALSE)))))</f>
        <v>560.1</v>
      </c>
      <c r="M35" s="320"/>
      <c r="N35" s="320"/>
      <c r="O35" s="320"/>
      <c r="P35" s="135"/>
      <c r="Q35" s="320" t="s">
        <v>353</v>
      </c>
      <c r="R35" s="320"/>
      <c r="S35" s="320"/>
      <c r="T35" s="320"/>
      <c r="U35" s="320"/>
      <c r="V35" s="320"/>
      <c r="W35" s="320"/>
      <c r="AP35" s="85"/>
    </row>
    <row r="36" spans="2:16384" ht="12.75" customHeight="1">
      <c r="B36" s="319" t="str">
        <f>'Filtered Data'!R8&amp;" Quartile"</f>
        <v>Bottom Quartile</v>
      </c>
      <c r="C36" s="319"/>
      <c r="D36" s="319"/>
      <c r="E36" s="319"/>
      <c r="F36" s="319"/>
      <c r="G36" s="319"/>
      <c r="H36" s="319"/>
      <c r="I36" s="319"/>
      <c r="J36" s="319"/>
      <c r="K36" s="319"/>
      <c r="L36" s="319"/>
      <c r="M36" s="319"/>
      <c r="N36" s="319"/>
      <c r="O36" s="319"/>
      <c r="P36" s="319"/>
      <c r="Q36" s="319"/>
      <c r="R36" s="319"/>
      <c r="S36" s="319"/>
      <c r="T36" s="319"/>
      <c r="U36" s="319"/>
      <c r="V36" s="319"/>
      <c r="W36" s="319"/>
      <c r="Z36" s="21" t="s">
        <v>357</v>
      </c>
      <c r="AB36" s="342" t="s">
        <v>359</v>
      </c>
      <c r="AC36" s="342"/>
      <c r="AD36" s="342"/>
      <c r="AE36" s="342"/>
      <c r="AF36" s="342"/>
      <c r="AG36" s="342"/>
      <c r="AH36" s="342"/>
      <c r="AI36" s="342"/>
      <c r="AJ36" s="342"/>
      <c r="AK36" s="342"/>
      <c r="AL36" s="342"/>
      <c r="AM36" s="154"/>
      <c r="AP36" s="85"/>
    </row>
    <row r="37" spans="2:16384" ht="12.75" customHeight="1">
      <c r="B37" s="136" t="str">
        <f>VLOOKUP('Filtered Data'!D1,'Filtered Data'!L1:O6,2,FALSE)</f>
        <v>Districts</v>
      </c>
      <c r="C37" s="136"/>
      <c r="D37" s="136"/>
      <c r="E37" s="136"/>
      <c r="F37" s="136"/>
      <c r="G37" s="136"/>
      <c r="H37" s="136"/>
      <c r="I37" s="136"/>
      <c r="J37" s="363" t="s">
        <v>799</v>
      </c>
      <c r="K37" s="137" t="str">
        <f>IF(Q37="","",IF('Filtered Data'!I8="D",IF($L$35&gt;=L37,"J","L"),IF('Filtered Data'!I8="A",IF($L$35&lt;=L37,"J","L"))))</f>
        <v>L</v>
      </c>
      <c r="L37" s="332">
        <f>'Filtered Data'!M9</f>
        <v>485.81005586592187</v>
      </c>
      <c r="M37" s="332"/>
      <c r="N37" s="332"/>
      <c r="O37" s="332"/>
      <c r="P37" s="138"/>
      <c r="Q37" s="338">
        <f>VLOOKUP(J5,'Filtered Data'!C:I,7,FALSE)</f>
        <v>151</v>
      </c>
      <c r="R37" s="338"/>
      <c r="S37" s="139"/>
      <c r="T37" s="140" t="s">
        <v>354</v>
      </c>
      <c r="U37" s="141"/>
      <c r="V37" s="338">
        <f>COUNT('Filtered Data'!I11:I355)</f>
        <v>179</v>
      </c>
      <c r="W37" s="338"/>
      <c r="AB37" s="342"/>
      <c r="AC37" s="342"/>
      <c r="AD37" s="342"/>
      <c r="AE37" s="342"/>
      <c r="AF37" s="342"/>
      <c r="AG37" s="342"/>
      <c r="AH37" s="342"/>
      <c r="AI37" s="342"/>
      <c r="AJ37" s="342"/>
      <c r="AK37" s="342"/>
      <c r="AL37" s="342"/>
      <c r="AM37" s="154"/>
      <c r="AP37" s="85"/>
    </row>
    <row r="38" spans="2:16384">
      <c r="B38" s="136" t="str">
        <f>IF('Filtered Data'!D1="L","Family",IF('Filtered Data'!D1="SD",VLOOKUP(J5,classifications!C:J,6,FALSE),"Rural"))</f>
        <v xml:space="preserve">Mainly Rural (rural including hub towns &gt;=80%) </v>
      </c>
      <c r="C38" s="136"/>
      <c r="D38" s="136"/>
      <c r="E38" s="136"/>
      <c r="F38" s="136"/>
      <c r="G38" s="136"/>
      <c r="H38" s="136"/>
      <c r="I38" s="136"/>
      <c r="J38" s="364"/>
      <c r="K38" s="137" t="str">
        <f>IF(Q38="","",IF('Filtered Data'!I8="D",IF($L$35&gt;=L38,"J","L"),IF('Filtered Data'!I8="A",IF($L$35&lt;=L38,"J","L"))))</f>
        <v>L</v>
      </c>
      <c r="L38" s="332">
        <f>IF('Filtered Data'!D1="L",'Filtered Data'!AG9,'Filtered Data'!Y9)</f>
        <v>464.80769230769232</v>
      </c>
      <c r="M38" s="332"/>
      <c r="N38" s="332"/>
      <c r="O38" s="332"/>
      <c r="P38" s="138"/>
      <c r="Q38" s="341">
        <f>IF(ISERROR(IF('Filtered Data'!D1="L",VLOOKUP(J5,'Filtered Data'!AF11:AH26,3,FALSE),VLOOKUP(J5,'Filtered Data'!$L$11:$Z$355,15,FALSE))),"",(IF('Filtered Data'!D1="L",VLOOKUP(J5,'Filtered Data'!AF11:AH26,3,FALSE),VLOOKUP(J5,'Filtered Data'!$L$11:$Z$355,15,FALSE))))</f>
        <v>35</v>
      </c>
      <c r="R38" s="341"/>
      <c r="S38" s="331" t="s">
        <v>354</v>
      </c>
      <c r="T38" s="332"/>
      <c r="U38" s="332"/>
      <c r="V38" s="338">
        <f>IF('Filtered Data'!D1="L",16,COUNT('Filtered Data'!Z:Z))</f>
        <v>39</v>
      </c>
      <c r="W38" s="338"/>
      <c r="AB38" s="154"/>
      <c r="AC38" s="154"/>
      <c r="AD38" s="154"/>
      <c r="AE38" s="154"/>
      <c r="AF38" s="154"/>
      <c r="AG38" s="154"/>
      <c r="AH38" s="154"/>
      <c r="AI38" s="154"/>
      <c r="AJ38" s="154"/>
      <c r="AK38" s="154"/>
      <c r="AL38" s="154"/>
      <c r="AM38" s="154"/>
      <c r="AP38" s="85"/>
    </row>
    <row r="39" spans="2:16384">
      <c r="B39" s="136" t="str">
        <f>IF('Filtered Data'!D1="L","",IF('Filtered Data'!D1="SD",J10,"Regional"))</f>
        <v>Cumbria</v>
      </c>
      <c r="C39" s="136"/>
      <c r="D39" s="136"/>
      <c r="E39" s="136"/>
      <c r="F39" s="136"/>
      <c r="G39" s="136"/>
      <c r="H39" s="136"/>
      <c r="I39" s="136"/>
      <c r="J39" s="364"/>
      <c r="K39" s="137" t="str">
        <f>IF(Q39="","",IF('Filtered Data'!I8="D",IF($L$35&gt;=L39,"J","L"),IF('Filtered Data'!I8="A",IF($L$35&lt;=L39,"J","L"))))</f>
        <v>L</v>
      </c>
      <c r="L39" s="332">
        <f>IF('Filtered Data'!D1="L","",IF('Filtered Data'!D1="SD",'Filtered Data'!AJ9,'Filtered Data'!AQ9))</f>
        <v>532.93333333333328</v>
      </c>
      <c r="M39" s="332"/>
      <c r="N39" s="332"/>
      <c r="O39" s="332"/>
      <c r="P39" s="138"/>
      <c r="Q39" s="338">
        <f>IF(ISERROR(IF('Filtered Data'!D1="L","",IF('Filtered Data'!D1="SD",VLOOKUP(J5,'Filtered Data'!L:AK,26,FALSE),(VLOOKUP(J5,'Filtered Data'!L:AR,33,FALSE))))),"",(IF('Filtered Data'!D1="L","",IF('Filtered Data'!D1="SD",VLOOKUP(J5,'Filtered Data'!L:AK,26,FALSE),(VLOOKUP(J5,'Filtered Data'!L:AR,33,FALSE))))))</f>
        <v>5</v>
      </c>
      <c r="R39" s="338"/>
      <c r="S39" s="139"/>
      <c r="T39" s="141" t="str">
        <f>IF(B39="","","out of")</f>
        <v>out of</v>
      </c>
      <c r="U39" s="141"/>
      <c r="V39" s="338">
        <f>IF('Filtered Data'!D1="L","",IF('Filtered Data'!D1="SD",COUNT('Filtered Data'!AK11:AK355),(COUNT('Filtered Data'!AQ11:AQ355))))</f>
        <v>6</v>
      </c>
      <c r="W39" s="338"/>
      <c r="Z39" s="13" t="s">
        <v>358</v>
      </c>
      <c r="AB39" s="342" t="s">
        <v>360</v>
      </c>
      <c r="AC39" s="342"/>
      <c r="AD39" s="342"/>
      <c r="AE39" s="342"/>
      <c r="AF39" s="342"/>
      <c r="AG39" s="342"/>
      <c r="AH39" s="342"/>
      <c r="AI39" s="342"/>
      <c r="AJ39" s="342"/>
      <c r="AK39" s="342"/>
      <c r="AL39" s="342"/>
      <c r="AM39" s="342"/>
      <c r="AP39" s="85"/>
    </row>
    <row r="40" spans="2:16384" ht="12.75" customHeight="1">
      <c r="B40" s="150"/>
      <c r="C40" s="150"/>
      <c r="D40" s="150"/>
      <c r="E40" s="150"/>
      <c r="F40" s="150"/>
      <c r="G40" s="150"/>
      <c r="H40" s="150"/>
      <c r="I40" s="150"/>
      <c r="J40" s="149"/>
      <c r="K40" s="151"/>
      <c r="L40" s="333"/>
      <c r="M40" s="333"/>
      <c r="N40" s="333"/>
      <c r="O40" s="333"/>
      <c r="P40" s="152"/>
      <c r="Q40" s="334"/>
      <c r="R40" s="334"/>
      <c r="S40" s="333"/>
      <c r="T40" s="337"/>
      <c r="U40" s="337"/>
      <c r="V40" s="334"/>
      <c r="W40" s="334"/>
      <c r="AB40" s="342"/>
      <c r="AC40" s="342"/>
      <c r="AD40" s="342"/>
      <c r="AE40" s="342"/>
      <c r="AF40" s="342"/>
      <c r="AG40" s="342"/>
      <c r="AH40" s="342"/>
      <c r="AI40" s="342"/>
      <c r="AJ40" s="342"/>
      <c r="AK40" s="342"/>
      <c r="AL40" s="342"/>
      <c r="AM40" s="342"/>
      <c r="AP40" s="85"/>
    </row>
    <row r="41" spans="2:16384">
      <c r="B41" s="282"/>
      <c r="C41" s="282"/>
      <c r="D41" s="282"/>
      <c r="E41" s="282"/>
      <c r="F41" s="282"/>
      <c r="G41" s="282"/>
      <c r="H41" s="282"/>
      <c r="I41" s="282"/>
      <c r="J41" s="149"/>
      <c r="K41" s="283" t="str">
        <f>IF(B41="","",IF('Filtered Data'!D1="UA","",(IF($L$35&gt;=L41,"J","L"))))</f>
        <v/>
      </c>
      <c r="L41" s="353"/>
      <c r="M41" s="353"/>
      <c r="N41" s="353"/>
      <c r="O41" s="353"/>
      <c r="P41" s="284"/>
      <c r="Q41" s="343"/>
      <c r="R41" s="343"/>
      <c r="S41" s="340"/>
      <c r="T41" s="340"/>
      <c r="U41" s="340"/>
      <c r="V41" s="343"/>
      <c r="W41" s="343"/>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49" t="s">
        <v>356</v>
      </c>
      <c r="C43" s="350"/>
      <c r="D43" s="350"/>
      <c r="E43" s="350"/>
      <c r="F43" s="350"/>
      <c r="G43" s="350"/>
      <c r="H43" s="350"/>
      <c r="I43" s="350"/>
      <c r="J43" s="350"/>
      <c r="K43" s="350"/>
      <c r="L43" s="350"/>
      <c r="M43" s="350"/>
      <c r="N43" s="350"/>
      <c r="O43" s="345" t="str">
        <f>W6&amp;" - "&amp;W12</f>
        <v>Residual household waste per household (kg/household) (Ex NI191) - 2020-21</v>
      </c>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6"/>
      <c r="AP43" s="85"/>
    </row>
    <row r="44" spans="2:16384">
      <c r="B44" s="351"/>
      <c r="C44" s="352"/>
      <c r="D44" s="352"/>
      <c r="E44" s="352"/>
      <c r="F44" s="352"/>
      <c r="G44" s="352"/>
      <c r="H44" s="352"/>
      <c r="I44" s="352"/>
      <c r="J44" s="352"/>
      <c r="K44" s="352"/>
      <c r="L44" s="352"/>
      <c r="M44" s="352"/>
      <c r="N44" s="352"/>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8"/>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Allerdale</v>
      </c>
      <c r="E48" s="330">
        <f>IF('Filtered Data'!$H$8="..",L35,L35*100)</f>
        <v>560.1</v>
      </c>
      <c r="F48" s="330"/>
      <c r="G48" s="330"/>
      <c r="H48" s="330"/>
      <c r="I48" s="6"/>
      <c r="J48" s="6"/>
      <c r="K48" s="287">
        <f>IF('Filtered Data'!$H$8="..",K$32,K$32*100)</f>
        <v>437.55</v>
      </c>
      <c r="L48" s="287"/>
      <c r="M48" s="287">
        <f>IF('Filtered Data'!$H$8="..",T$32,T$32*100)</f>
        <v>490.9</v>
      </c>
      <c r="N48" s="287"/>
      <c r="O48" s="287">
        <f>IF('Filtered Data'!$H$8="..",AC$32,AC$32*100)</f>
        <v>538.54999999999995</v>
      </c>
      <c r="P48" s="287"/>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330">
        <f>IF('Filtered Data'!$H$8="..",L37,L37*100)</f>
        <v>485.81005586592187</v>
      </c>
      <c r="F49" s="330"/>
      <c r="G49" s="330"/>
      <c r="H49" s="330"/>
      <c r="I49" s="6"/>
      <c r="J49" s="6"/>
      <c r="K49" s="287">
        <f>IF('Filtered Data'!$H$8="..",K$32,K$32*100)</f>
        <v>437.55</v>
      </c>
      <c r="L49" s="287"/>
      <c r="M49" s="287">
        <f>IF('Filtered Data'!$H$8="..",T$32,T$32*100)</f>
        <v>490.9</v>
      </c>
      <c r="N49" s="287"/>
      <c r="O49" s="287">
        <f>IF('Filtered Data'!$H$8="..",AC$32,AC$32*100)</f>
        <v>538.54999999999995</v>
      </c>
      <c r="P49" s="287"/>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Cumbria</v>
      </c>
      <c r="E50" s="330">
        <f>IF('Filtered Data'!$H$8="..",L39,L39*100)</f>
        <v>532.93333333333328</v>
      </c>
      <c r="F50" s="330"/>
      <c r="G50" s="330"/>
      <c r="H50" s="330"/>
      <c r="I50" s="6"/>
      <c r="J50" s="6"/>
      <c r="K50" s="287">
        <f>IF('Filtered Data'!$H$8="..",K$32,K$32*100)</f>
        <v>437.55</v>
      </c>
      <c r="L50" s="287"/>
      <c r="M50" s="287">
        <f>IF('Filtered Data'!$H$8="..",T$32,T$32*100)</f>
        <v>490.9</v>
      </c>
      <c r="N50" s="287"/>
      <c r="O50" s="287">
        <f>IF('Filtered Data'!$H$8="..",AC$32,AC$32*100)</f>
        <v>538.54999999999995</v>
      </c>
      <c r="P50" s="287"/>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 xml:space="preserve">Mainly Rural (rural including hub towns &gt;=80%) </v>
      </c>
      <c r="E51" s="330">
        <f>IF('Filtered Data'!$H$8="..",L38,L38*100)</f>
        <v>464.80769230769232</v>
      </c>
      <c r="F51" s="330"/>
      <c r="G51" s="330"/>
      <c r="H51" s="330"/>
      <c r="I51" s="6"/>
      <c r="J51" s="6"/>
      <c r="K51" s="287">
        <f>IF('Filtered Data'!$H$8="..",K$32,K$32*100)</f>
        <v>437.55</v>
      </c>
      <c r="L51" s="287"/>
      <c r="M51" s="287">
        <f>IF('Filtered Data'!$H$8="..",T$32,T$32*100)</f>
        <v>490.9</v>
      </c>
      <c r="N51" s="287"/>
      <c r="O51" s="287">
        <f>IF('Filtered Data'!$H$8="..",AC$32,AC$32*100)</f>
        <v>538.54999999999995</v>
      </c>
      <c r="P51" s="287"/>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0"/>
      <c r="F52" s="330"/>
      <c r="G52" s="330"/>
      <c r="H52" s="330"/>
      <c r="I52" s="6"/>
      <c r="J52" s="6"/>
      <c r="K52" s="287"/>
      <c r="L52" s="287"/>
      <c r="M52" s="287"/>
      <c r="N52" s="287"/>
      <c r="O52" s="287"/>
      <c r="P52" s="287"/>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60"/>
      <c r="F53" s="360"/>
      <c r="G53" s="360"/>
      <c r="H53" s="360"/>
      <c r="I53" s="6"/>
      <c r="J53" s="6"/>
      <c r="K53" s="287"/>
      <c r="L53" s="287"/>
      <c r="M53" s="287"/>
      <c r="N53" s="287"/>
      <c r="O53" s="287"/>
      <c r="P53" s="287"/>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54" t="str">
        <f>B3</f>
        <v>Waste Management Indicators</v>
      </c>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P59" s="85"/>
    </row>
    <row r="60" spans="2:42">
      <c r="AP60" s="85"/>
    </row>
    <row r="61" spans="2:42" ht="12" customHeight="1">
      <c r="B61" s="1" t="str">
        <f>W6&amp;" - "&amp;W12</f>
        <v>Residual household waste per household (kg/household) (Ex NI191) - 2020-21</v>
      </c>
      <c r="AP61" s="85"/>
    </row>
    <row r="62" spans="2:42" ht="12" customHeight="1">
      <c r="AP62" s="85"/>
    </row>
    <row r="63" spans="2:42" ht="12" customHeight="1">
      <c r="B63" s="1" t="s">
        <v>362</v>
      </c>
      <c r="AP63" s="85"/>
    </row>
    <row r="64" spans="2:42" ht="12" customHeight="1">
      <c r="AP64" s="85"/>
    </row>
    <row r="65" spans="2:42" ht="12" customHeight="1">
      <c r="B65" s="300" t="s">
        <v>353</v>
      </c>
      <c r="C65" s="300"/>
      <c r="D65" s="300"/>
      <c r="E65" s="293" t="s">
        <v>333</v>
      </c>
      <c r="F65" s="293"/>
      <c r="G65" s="293"/>
      <c r="H65" s="293"/>
      <c r="I65" s="293"/>
      <c r="J65" s="293"/>
      <c r="K65" s="293"/>
      <c r="L65" s="293"/>
      <c r="M65" s="293"/>
      <c r="N65" s="293"/>
      <c r="O65" s="293"/>
      <c r="P65" s="293"/>
      <c r="Q65" s="293"/>
      <c r="R65" s="293"/>
      <c r="S65" s="293"/>
      <c r="T65" s="293"/>
      <c r="U65" s="300" t="s">
        <v>363</v>
      </c>
      <c r="V65" s="300"/>
      <c r="W65" s="300"/>
      <c r="X65" s="300"/>
      <c r="Y65" s="24"/>
      <c r="Z65" s="24"/>
      <c r="AA65" s="24"/>
      <c r="AB65" s="24"/>
      <c r="AC65" s="23"/>
      <c r="AD65" s="24"/>
      <c r="AE65" s="24"/>
      <c r="AF65" s="24"/>
      <c r="AG65" s="24"/>
      <c r="AH65" s="11"/>
      <c r="AI65" s="24"/>
      <c r="AJ65" s="24"/>
      <c r="AK65" s="24"/>
      <c r="AL65" s="24"/>
      <c r="AP65" s="85"/>
    </row>
    <row r="66" spans="2:42" ht="12" customHeight="1">
      <c r="B66" s="335">
        <v>1</v>
      </c>
      <c r="C66" s="291"/>
      <c r="D66" s="291"/>
      <c r="E66" s="292" t="str">
        <f>VLOOKUP(B66,'Filtered Data'!K:L,2,FALSE)</f>
        <v>East Devon</v>
      </c>
      <c r="F66" s="292"/>
      <c r="G66" s="292"/>
      <c r="H66" s="292"/>
      <c r="I66" s="292"/>
      <c r="J66" s="292"/>
      <c r="K66" s="292"/>
      <c r="L66" s="292"/>
      <c r="M66" s="292"/>
      <c r="N66" s="292"/>
      <c r="O66" s="292"/>
      <c r="P66" s="292"/>
      <c r="Q66" s="292"/>
      <c r="R66" s="292"/>
      <c r="S66" s="292"/>
      <c r="T66" s="292"/>
      <c r="U66" s="289">
        <f>IF('Filtered Data'!$H$8="%.",(VLOOKUP(B66,'Filtered Data'!K:M,3,FALSE))/100,VLOOKUP(B66,'Filtered Data'!K:M,3,FALSE))</f>
        <v>269.39999999999998</v>
      </c>
      <c r="V66" s="289"/>
      <c r="W66" s="289"/>
      <c r="X66" s="289"/>
      <c r="Y66" s="181" t="str">
        <f>IF((VLOOKUP(E66,classifications!C:K,9,FALSE))="Sparse","S","")</f>
        <v>S</v>
      </c>
      <c r="Z66" s="181"/>
      <c r="AA66" s="181"/>
      <c r="AB66" s="181"/>
      <c r="AC66" s="181"/>
      <c r="AD66" s="298"/>
      <c r="AE66" s="298"/>
      <c r="AF66" s="298"/>
      <c r="AG66" s="298"/>
      <c r="AH66" s="298"/>
      <c r="AI66" s="298"/>
      <c r="AJ66" s="298"/>
      <c r="AK66" s="298"/>
      <c r="AL66" s="298"/>
      <c r="AP66" s="85"/>
    </row>
    <row r="67" spans="2:42" ht="12" customHeight="1">
      <c r="B67" s="335">
        <v>2</v>
      </c>
      <c r="C67" s="291"/>
      <c r="D67" s="291"/>
      <c r="E67" s="292" t="str">
        <f>VLOOKUP(B67,'Filtered Data'!K:L,2,FALSE)</f>
        <v>Stroud</v>
      </c>
      <c r="F67" s="292"/>
      <c r="G67" s="292"/>
      <c r="H67" s="292"/>
      <c r="I67" s="292"/>
      <c r="J67" s="292"/>
      <c r="K67" s="292"/>
      <c r="L67" s="292"/>
      <c r="M67" s="292"/>
      <c r="N67" s="292"/>
      <c r="O67" s="292"/>
      <c r="P67" s="292"/>
      <c r="Q67" s="292"/>
      <c r="R67" s="292"/>
      <c r="S67" s="292"/>
      <c r="T67" s="292"/>
      <c r="U67" s="289">
        <f>IF('Filtered Data'!$H$8="%.",(VLOOKUP(B67,'Filtered Data'!K:M,3,FALSE))/100,VLOOKUP(B67,'Filtered Data'!K:M,3,FALSE))</f>
        <v>299.8</v>
      </c>
      <c r="V67" s="289"/>
      <c r="W67" s="289"/>
      <c r="X67" s="289"/>
      <c r="Y67" s="181" t="str">
        <f>IF((VLOOKUP(E67,classifications!C:K,9,FALSE))="Sparse","S","")</f>
        <v>S</v>
      </c>
      <c r="Z67" s="181"/>
      <c r="AA67" s="181"/>
      <c r="AB67" s="181"/>
      <c r="AC67" s="181"/>
      <c r="AD67" s="298"/>
      <c r="AE67" s="298"/>
      <c r="AF67" s="298"/>
      <c r="AG67" s="298"/>
      <c r="AH67" s="298"/>
      <c r="AI67" s="298"/>
      <c r="AJ67" s="298"/>
      <c r="AK67" s="298"/>
      <c r="AL67" s="298"/>
      <c r="AP67" s="85"/>
    </row>
    <row r="68" spans="2:42" ht="12" customHeight="1">
      <c r="B68" s="335">
        <v>3</v>
      </c>
      <c r="C68" s="291"/>
      <c r="D68" s="291"/>
      <c r="E68" s="292" t="str">
        <f>VLOOKUP(B68,'Filtered Data'!K:L,2,FALSE)</f>
        <v>Colchester</v>
      </c>
      <c r="F68" s="292"/>
      <c r="G68" s="292"/>
      <c r="H68" s="292"/>
      <c r="I68" s="292"/>
      <c r="J68" s="292"/>
      <c r="K68" s="292"/>
      <c r="L68" s="292"/>
      <c r="M68" s="292"/>
      <c r="N68" s="292"/>
      <c r="O68" s="292"/>
      <c r="P68" s="292"/>
      <c r="Q68" s="292"/>
      <c r="R68" s="292"/>
      <c r="S68" s="292"/>
      <c r="T68" s="292"/>
      <c r="U68" s="289">
        <f>IF('Filtered Data'!$H$8="%.",(VLOOKUP(B68,'Filtered Data'!K:M,3,FALSE))/100,VLOOKUP(B68,'Filtered Data'!K:M,3,FALSE))</f>
        <v>307.3</v>
      </c>
      <c r="V68" s="289"/>
      <c r="W68" s="289"/>
      <c r="X68" s="289"/>
      <c r="Y68" s="181" t="str">
        <f>IF((VLOOKUP(E68,classifications!C:K,9,FALSE))="Sparse","S","")</f>
        <v/>
      </c>
      <c r="Z68" s="181"/>
      <c r="AA68" s="181"/>
      <c r="AB68" s="181"/>
      <c r="AC68" s="181"/>
      <c r="AD68" s="298"/>
      <c r="AE68" s="298"/>
      <c r="AF68" s="298"/>
      <c r="AG68" s="298"/>
      <c r="AH68" s="298"/>
      <c r="AI68" s="298"/>
      <c r="AJ68" s="298"/>
      <c r="AK68" s="298"/>
      <c r="AL68" s="298"/>
      <c r="AP68" s="85"/>
    </row>
    <row r="69" spans="2:42" ht="12" customHeight="1">
      <c r="B69" s="335">
        <v>4</v>
      </c>
      <c r="C69" s="291"/>
      <c r="D69" s="291"/>
      <c r="E69" s="292" t="str">
        <f>VLOOKUP(B69,'Filtered Data'!K:L,2,FALSE)</f>
        <v>Vale of White Horse</v>
      </c>
      <c r="F69" s="292"/>
      <c r="G69" s="292"/>
      <c r="H69" s="292"/>
      <c r="I69" s="292"/>
      <c r="J69" s="292"/>
      <c r="K69" s="292"/>
      <c r="L69" s="292"/>
      <c r="M69" s="292"/>
      <c r="N69" s="292"/>
      <c r="O69" s="292"/>
      <c r="P69" s="292"/>
      <c r="Q69" s="292"/>
      <c r="R69" s="292"/>
      <c r="S69" s="292"/>
      <c r="T69" s="292"/>
      <c r="U69" s="289">
        <f>IF('Filtered Data'!$H$8="%.",(VLOOKUP(B69,'Filtered Data'!K:M,3,FALSE))/100,VLOOKUP(B69,'Filtered Data'!K:M,3,FALSE))</f>
        <v>325.2</v>
      </c>
      <c r="V69" s="289"/>
      <c r="W69" s="289"/>
      <c r="X69" s="289"/>
      <c r="Y69" s="181" t="str">
        <f>IF((VLOOKUP(E69,classifications!C:K,9,FALSE))="Sparse","S","")</f>
        <v>S</v>
      </c>
      <c r="Z69" s="181"/>
      <c r="AA69" s="181"/>
      <c r="AB69" s="181"/>
      <c r="AC69" s="181"/>
      <c r="AD69" s="298"/>
      <c r="AE69" s="298"/>
      <c r="AF69" s="298"/>
      <c r="AG69" s="298"/>
      <c r="AH69" s="298"/>
      <c r="AI69" s="298"/>
      <c r="AJ69" s="298"/>
      <c r="AK69" s="298"/>
      <c r="AL69" s="298"/>
      <c r="AP69" s="85"/>
    </row>
    <row r="70" spans="2:42" ht="12" customHeight="1">
      <c r="B70" s="335">
        <v>5</v>
      </c>
      <c r="C70" s="291"/>
      <c r="D70" s="291"/>
      <c r="E70" s="292" t="str">
        <f>VLOOKUP(B70,'Filtered Data'!K:L,2,FALSE)</f>
        <v>West Devon</v>
      </c>
      <c r="F70" s="292"/>
      <c r="G70" s="292"/>
      <c r="H70" s="292"/>
      <c r="I70" s="292"/>
      <c r="J70" s="292"/>
      <c r="K70" s="292"/>
      <c r="L70" s="292"/>
      <c r="M70" s="292"/>
      <c r="N70" s="292"/>
      <c r="O70" s="292"/>
      <c r="P70" s="292"/>
      <c r="Q70" s="292"/>
      <c r="R70" s="292"/>
      <c r="S70" s="292"/>
      <c r="T70" s="292"/>
      <c r="U70" s="289">
        <f>IF('Filtered Data'!$H$8="%.",(VLOOKUP(B70,'Filtered Data'!K:M,3,FALSE))/100,VLOOKUP(B70,'Filtered Data'!K:M,3,FALSE))</f>
        <v>326.89999999999998</v>
      </c>
      <c r="V70" s="289"/>
      <c r="W70" s="289"/>
      <c r="X70" s="289"/>
      <c r="Y70" s="181" t="str">
        <f>IF((VLOOKUP(E70,classifications!C:K,9,FALSE))="Sparse","S","")</f>
        <v>S</v>
      </c>
      <c r="Z70" s="181"/>
      <c r="AA70" s="181"/>
      <c r="AB70" s="181"/>
      <c r="AC70" s="181"/>
      <c r="AD70" s="298"/>
      <c r="AE70" s="298"/>
      <c r="AF70" s="298"/>
      <c r="AG70" s="298"/>
      <c r="AH70" s="298"/>
      <c r="AI70" s="298"/>
      <c r="AJ70" s="298"/>
      <c r="AK70" s="298"/>
      <c r="AL70" s="298"/>
      <c r="AP70" s="85"/>
    </row>
    <row r="71" spans="2:42" ht="12" customHeight="1">
      <c r="B71" s="335">
        <v>6</v>
      </c>
      <c r="C71" s="291"/>
      <c r="D71" s="291"/>
      <c r="E71" s="292" t="str">
        <f>VLOOKUP(B71,'Filtered Data'!K:L,2,FALSE)</f>
        <v>Three Rivers</v>
      </c>
      <c r="F71" s="292"/>
      <c r="G71" s="292"/>
      <c r="H71" s="292"/>
      <c r="I71" s="292"/>
      <c r="J71" s="292"/>
      <c r="K71" s="292"/>
      <c r="L71" s="292"/>
      <c r="M71" s="292"/>
      <c r="N71" s="292"/>
      <c r="O71" s="292"/>
      <c r="P71" s="292"/>
      <c r="Q71" s="292"/>
      <c r="R71" s="292"/>
      <c r="S71" s="292"/>
      <c r="T71" s="292"/>
      <c r="U71" s="289">
        <f>IF('Filtered Data'!$H$8="%.",(VLOOKUP(B71,'Filtered Data'!K:M,3,FALSE))/100,VLOOKUP(B71,'Filtered Data'!K:M,3,FALSE))</f>
        <v>333.6</v>
      </c>
      <c r="V71" s="289"/>
      <c r="W71" s="289"/>
      <c r="X71" s="289"/>
      <c r="Y71" s="181" t="str">
        <f>IF((VLOOKUP(E71,classifications!C:K,9,FALSE))="Sparse","S","")</f>
        <v/>
      </c>
      <c r="Z71" s="181"/>
      <c r="AA71" s="181"/>
      <c r="AB71" s="181"/>
      <c r="AC71" s="181"/>
      <c r="AD71" s="298"/>
      <c r="AE71" s="298"/>
      <c r="AF71" s="298"/>
      <c r="AG71" s="298"/>
      <c r="AH71" s="298"/>
      <c r="AI71" s="298"/>
      <c r="AJ71" s="298"/>
      <c r="AK71" s="298"/>
      <c r="AL71" s="298"/>
      <c r="AP71" s="85"/>
    </row>
    <row r="72" spans="2:42" ht="12" customHeight="1">
      <c r="B72" s="335">
        <v>7</v>
      </c>
      <c r="C72" s="291"/>
      <c r="D72" s="291"/>
      <c r="E72" s="292" t="str">
        <f>VLOOKUP(B72,'Filtered Data'!K:L,2,FALSE)</f>
        <v>St Albans</v>
      </c>
      <c r="F72" s="292"/>
      <c r="G72" s="292"/>
      <c r="H72" s="292"/>
      <c r="I72" s="292"/>
      <c r="J72" s="292"/>
      <c r="K72" s="292"/>
      <c r="L72" s="292"/>
      <c r="M72" s="292"/>
      <c r="N72" s="292"/>
      <c r="O72" s="292"/>
      <c r="P72" s="292"/>
      <c r="Q72" s="292"/>
      <c r="R72" s="292"/>
      <c r="S72" s="292"/>
      <c r="T72" s="292"/>
      <c r="U72" s="289">
        <f>IF('Filtered Data'!$H$8="%.",(VLOOKUP(B72,'Filtered Data'!K:M,3,FALSE))/100,VLOOKUP(B72,'Filtered Data'!K:M,3,FALSE))</f>
        <v>335.5</v>
      </c>
      <c r="V72" s="289"/>
      <c r="W72" s="289"/>
      <c r="X72" s="289"/>
      <c r="Y72" s="181" t="str">
        <f>IF((VLOOKUP(E72,classifications!C:K,9,FALSE))="Sparse","S","")</f>
        <v/>
      </c>
      <c r="Z72" s="181"/>
      <c r="AA72" s="181"/>
      <c r="AB72" s="181"/>
      <c r="AC72" s="181"/>
      <c r="AD72" s="298"/>
      <c r="AE72" s="298"/>
      <c r="AF72" s="298"/>
      <c r="AG72" s="298"/>
      <c r="AH72" s="298"/>
      <c r="AI72" s="298"/>
      <c r="AJ72" s="298"/>
      <c r="AK72" s="298"/>
      <c r="AL72" s="298"/>
      <c r="AP72" s="85"/>
    </row>
    <row r="73" spans="2:42" ht="12" customHeight="1">
      <c r="B73" s="335">
        <v>8</v>
      </c>
      <c r="C73" s="291"/>
      <c r="D73" s="291"/>
      <c r="E73" s="292" t="str">
        <f>VLOOKUP(B73,'Filtered Data'!K:L,2,FALSE)</f>
        <v>South Oxfordshire</v>
      </c>
      <c r="F73" s="292"/>
      <c r="G73" s="292"/>
      <c r="H73" s="292"/>
      <c r="I73" s="292"/>
      <c r="J73" s="292"/>
      <c r="K73" s="292"/>
      <c r="L73" s="292"/>
      <c r="M73" s="292"/>
      <c r="N73" s="292"/>
      <c r="O73" s="292"/>
      <c r="P73" s="292"/>
      <c r="Q73" s="292"/>
      <c r="R73" s="292"/>
      <c r="S73" s="292"/>
      <c r="T73" s="292"/>
      <c r="U73" s="289">
        <f>IF('Filtered Data'!$H$8="%.",(VLOOKUP(B73,'Filtered Data'!K:M,3,FALSE))/100,VLOOKUP(B73,'Filtered Data'!K:M,3,FALSE))</f>
        <v>336.3</v>
      </c>
      <c r="V73" s="289"/>
      <c r="W73" s="289"/>
      <c r="X73" s="289"/>
      <c r="Y73" s="181" t="str">
        <f>IF((VLOOKUP(E73,classifications!C:K,9,FALSE))="Sparse","S","")</f>
        <v>S</v>
      </c>
      <c r="Z73" s="181"/>
      <c r="AA73" s="181"/>
      <c r="AB73" s="181"/>
      <c r="AC73" s="181"/>
      <c r="AD73" s="298"/>
      <c r="AE73" s="298"/>
      <c r="AF73" s="298"/>
      <c r="AG73" s="298"/>
      <c r="AH73" s="298"/>
      <c r="AI73" s="298"/>
      <c r="AJ73" s="298"/>
      <c r="AK73" s="298"/>
      <c r="AL73" s="298"/>
      <c r="AP73" s="85"/>
    </row>
    <row r="74" spans="2:42" ht="12" customHeight="1">
      <c r="B74" s="335">
        <v>9</v>
      </c>
      <c r="C74" s="291"/>
      <c r="D74" s="291"/>
      <c r="E74" s="292" t="str">
        <f>VLOOKUP(B74,'Filtered Data'!K:L,2,FALSE)</f>
        <v>Oxford</v>
      </c>
      <c r="F74" s="292"/>
      <c r="G74" s="292"/>
      <c r="H74" s="292"/>
      <c r="I74" s="292"/>
      <c r="J74" s="292"/>
      <c r="K74" s="292"/>
      <c r="L74" s="292"/>
      <c r="M74" s="292"/>
      <c r="N74" s="292"/>
      <c r="O74" s="292"/>
      <c r="P74" s="292"/>
      <c r="Q74" s="292"/>
      <c r="R74" s="292"/>
      <c r="S74" s="292"/>
      <c r="T74" s="292"/>
      <c r="U74" s="289">
        <f>IF('Filtered Data'!$H$8="%.",(VLOOKUP(B74,'Filtered Data'!K:M,3,FALSE))/100,VLOOKUP(B74,'Filtered Data'!K:M,3,FALSE))</f>
        <v>350</v>
      </c>
      <c r="V74" s="289"/>
      <c r="W74" s="289"/>
      <c r="X74" s="289"/>
      <c r="Y74" s="181" t="str">
        <f>IF((VLOOKUP(E74,classifications!C:K,9,FALSE))="Sparse","S","")</f>
        <v/>
      </c>
      <c r="Z74" s="181"/>
      <c r="AA74" s="181"/>
      <c r="AB74" s="181"/>
      <c r="AC74" s="181"/>
      <c r="AD74" s="298"/>
      <c r="AE74" s="298"/>
      <c r="AF74" s="298"/>
      <c r="AG74" s="298"/>
      <c r="AH74" s="298"/>
      <c r="AI74" s="298"/>
      <c r="AJ74" s="298"/>
      <c r="AK74" s="298"/>
      <c r="AL74" s="298"/>
      <c r="AP74" s="85"/>
    </row>
    <row r="75" spans="2:42" ht="12" customHeight="1">
      <c r="B75" s="335">
        <v>10</v>
      </c>
      <c r="C75" s="291"/>
      <c r="D75" s="291"/>
      <c r="E75" s="292" t="str">
        <f>VLOOKUP(B75,'Filtered Data'!K:L,2,FALSE)</f>
        <v>Derbyshire Dales</v>
      </c>
      <c r="F75" s="292"/>
      <c r="G75" s="292"/>
      <c r="H75" s="292"/>
      <c r="I75" s="292"/>
      <c r="J75" s="292"/>
      <c r="K75" s="292"/>
      <c r="L75" s="292"/>
      <c r="M75" s="292"/>
      <c r="N75" s="292"/>
      <c r="O75" s="292"/>
      <c r="P75" s="292"/>
      <c r="Q75" s="292"/>
      <c r="R75" s="292"/>
      <c r="S75" s="292"/>
      <c r="T75" s="292"/>
      <c r="U75" s="289">
        <f>IF('Filtered Data'!$H$8="%.",(VLOOKUP(B75,'Filtered Data'!K:M,3,FALSE))/100,VLOOKUP(B75,'Filtered Data'!K:M,3,FALSE))</f>
        <v>355.9</v>
      </c>
      <c r="V75" s="289"/>
      <c r="W75" s="289"/>
      <c r="X75" s="289"/>
      <c r="Y75" s="181" t="str">
        <f>IF((VLOOKUP(E75,classifications!C:K,9,FALSE))="Sparse","S","")</f>
        <v>S</v>
      </c>
      <c r="Z75" s="181"/>
      <c r="AA75" s="181"/>
      <c r="AB75" s="181"/>
      <c r="AC75" s="181"/>
      <c r="AD75" s="298"/>
      <c r="AE75" s="298"/>
      <c r="AF75" s="298"/>
      <c r="AG75" s="298"/>
      <c r="AH75" s="298"/>
      <c r="AI75" s="298"/>
      <c r="AJ75" s="298"/>
      <c r="AK75" s="298"/>
      <c r="AL75" s="298"/>
      <c r="AP75" s="85"/>
    </row>
    <row r="76" spans="2:42" ht="12" customHeight="1">
      <c r="B76" s="335">
        <v>11</v>
      </c>
      <c r="C76" s="291"/>
      <c r="D76" s="291"/>
      <c r="E76" s="292" t="str">
        <f>VLOOKUP(B76,'Filtered Data'!K:L,2,FALSE)</f>
        <v>South Hams</v>
      </c>
      <c r="F76" s="292"/>
      <c r="G76" s="292"/>
      <c r="H76" s="292"/>
      <c r="I76" s="292"/>
      <c r="J76" s="292"/>
      <c r="K76" s="292"/>
      <c r="L76" s="292"/>
      <c r="M76" s="292"/>
      <c r="N76" s="292"/>
      <c r="O76" s="292"/>
      <c r="P76" s="292"/>
      <c r="Q76" s="292"/>
      <c r="R76" s="292"/>
      <c r="S76" s="292"/>
      <c r="T76" s="292"/>
      <c r="U76" s="289">
        <f>IF('Filtered Data'!$H$8="%.",(VLOOKUP(B76,'Filtered Data'!K:M,3,FALSE))/100,VLOOKUP(B76,'Filtered Data'!K:M,3,FALSE))</f>
        <v>357.6</v>
      </c>
      <c r="V76" s="289"/>
      <c r="W76" s="289"/>
      <c r="X76" s="289"/>
      <c r="Y76" s="181" t="str">
        <f>IF((VLOOKUP(E76,classifications!C:K,9,FALSE))="Sparse","S","")</f>
        <v>S</v>
      </c>
      <c r="Z76" s="181"/>
      <c r="AA76" s="181"/>
      <c r="AB76" s="181"/>
      <c r="AC76" s="181"/>
      <c r="AD76" s="298"/>
      <c r="AE76" s="298"/>
      <c r="AF76" s="298"/>
      <c r="AG76" s="298"/>
      <c r="AH76" s="298"/>
      <c r="AI76" s="298"/>
      <c r="AJ76" s="298"/>
      <c r="AK76" s="298"/>
      <c r="AL76" s="298"/>
      <c r="AP76" s="85"/>
    </row>
    <row r="77" spans="2:42" ht="12" customHeight="1">
      <c r="B77" s="335">
        <v>12</v>
      </c>
      <c r="C77" s="291"/>
      <c r="D77" s="291"/>
      <c r="E77" s="292" t="str">
        <f>VLOOKUP(B77,'Filtered Data'!K:L,2,FALSE)</f>
        <v>Torridge</v>
      </c>
      <c r="F77" s="292"/>
      <c r="G77" s="292"/>
      <c r="H77" s="292"/>
      <c r="I77" s="292"/>
      <c r="J77" s="292"/>
      <c r="K77" s="292"/>
      <c r="L77" s="292"/>
      <c r="M77" s="292"/>
      <c r="N77" s="292"/>
      <c r="O77" s="292"/>
      <c r="P77" s="292"/>
      <c r="Q77" s="292"/>
      <c r="R77" s="292"/>
      <c r="S77" s="292"/>
      <c r="T77" s="292"/>
      <c r="U77" s="289">
        <f>IF('Filtered Data'!$H$8="%.",(VLOOKUP(B77,'Filtered Data'!K:M,3,FALSE))/100,VLOOKUP(B77,'Filtered Data'!K:M,3,FALSE))</f>
        <v>358.4</v>
      </c>
      <c r="V77" s="289"/>
      <c r="W77" s="289"/>
      <c r="X77" s="289"/>
      <c r="Y77" s="181" t="str">
        <f>IF((VLOOKUP(E77,classifications!C:K,9,FALSE))="Sparse","S","")</f>
        <v>S</v>
      </c>
      <c r="Z77" s="181"/>
      <c r="AA77" s="181"/>
      <c r="AB77" s="181"/>
      <c r="AC77" s="181"/>
      <c r="AD77" s="298"/>
      <c r="AE77" s="298"/>
      <c r="AF77" s="298"/>
      <c r="AG77" s="298"/>
      <c r="AH77" s="298"/>
      <c r="AI77" s="298"/>
      <c r="AJ77" s="298"/>
      <c r="AK77" s="298"/>
      <c r="AL77" s="298"/>
      <c r="AP77" s="85"/>
    </row>
    <row r="78" spans="2:42" ht="12" customHeight="1">
      <c r="B78" s="335">
        <v>13</v>
      </c>
      <c r="C78" s="291"/>
      <c r="D78" s="291"/>
      <c r="E78" s="292" t="str">
        <f>VLOOKUP(B78,'Filtered Data'!K:L,2,FALSE)</f>
        <v>Surrey Heath</v>
      </c>
      <c r="F78" s="292"/>
      <c r="G78" s="292"/>
      <c r="H78" s="292"/>
      <c r="I78" s="292"/>
      <c r="J78" s="292"/>
      <c r="K78" s="292"/>
      <c r="L78" s="292"/>
      <c r="M78" s="292"/>
      <c r="N78" s="292"/>
      <c r="O78" s="292"/>
      <c r="P78" s="292"/>
      <c r="Q78" s="292"/>
      <c r="R78" s="292"/>
      <c r="S78" s="292"/>
      <c r="T78" s="292"/>
      <c r="U78" s="289">
        <f>IF('Filtered Data'!$H$8="%.",(VLOOKUP(B78,'Filtered Data'!K:M,3,FALSE))/100,VLOOKUP(B78,'Filtered Data'!K:M,3,FALSE))</f>
        <v>364.9</v>
      </c>
      <c r="V78" s="289"/>
      <c r="W78" s="289"/>
      <c r="X78" s="289"/>
      <c r="Y78" s="181" t="str">
        <f>IF((VLOOKUP(E78,classifications!C:K,9,FALSE))="Sparse","S","")</f>
        <v/>
      </c>
      <c r="Z78" s="181"/>
      <c r="AA78" s="181"/>
      <c r="AB78" s="181"/>
      <c r="AC78" s="181"/>
      <c r="AD78" s="298"/>
      <c r="AE78" s="298"/>
      <c r="AF78" s="298"/>
      <c r="AG78" s="298"/>
      <c r="AH78" s="298"/>
      <c r="AI78" s="298"/>
      <c r="AJ78" s="298"/>
      <c r="AK78" s="298"/>
      <c r="AL78" s="298"/>
      <c r="AP78" s="85"/>
    </row>
    <row r="79" spans="2:42" ht="12" customHeight="1">
      <c r="B79" s="335">
        <v>14</v>
      </c>
      <c r="C79" s="291"/>
      <c r="D79" s="291"/>
      <c r="E79" s="292" t="str">
        <f>VLOOKUP(B79,'Filtered Data'!K:L,2,FALSE)</f>
        <v>Teignbridge</v>
      </c>
      <c r="F79" s="292"/>
      <c r="G79" s="292"/>
      <c r="H79" s="292"/>
      <c r="I79" s="292"/>
      <c r="J79" s="292"/>
      <c r="K79" s="292"/>
      <c r="L79" s="292"/>
      <c r="M79" s="292"/>
      <c r="N79" s="292"/>
      <c r="O79" s="292"/>
      <c r="P79" s="292"/>
      <c r="Q79" s="292"/>
      <c r="R79" s="292"/>
      <c r="S79" s="292"/>
      <c r="T79" s="292"/>
      <c r="U79" s="289">
        <f>IF('Filtered Data'!$H$8="%.",(VLOOKUP(B79,'Filtered Data'!K:M,3,FALSE))/100,VLOOKUP(B79,'Filtered Data'!K:M,3,FALSE))</f>
        <v>369.6</v>
      </c>
      <c r="V79" s="289"/>
      <c r="W79" s="289"/>
      <c r="X79" s="289"/>
      <c r="Y79" s="181" t="str">
        <f>IF((VLOOKUP(E79,classifications!C:K,9,FALSE))="Sparse","S","")</f>
        <v>S</v>
      </c>
      <c r="Z79" s="181"/>
      <c r="AA79" s="181"/>
      <c r="AB79" s="181"/>
      <c r="AC79" s="181"/>
      <c r="AD79" s="298"/>
      <c r="AE79" s="298"/>
      <c r="AF79" s="298"/>
      <c r="AG79" s="298"/>
      <c r="AH79" s="298"/>
      <c r="AI79" s="298"/>
      <c r="AJ79" s="298"/>
      <c r="AK79" s="298"/>
      <c r="AL79" s="298"/>
      <c r="AP79" s="85"/>
    </row>
    <row r="80" spans="2:42" ht="12" customHeight="1">
      <c r="B80" s="335">
        <v>15</v>
      </c>
      <c r="C80" s="291"/>
      <c r="D80" s="291"/>
      <c r="E80" s="292" t="str">
        <f>VLOOKUP(B80,'Filtered Data'!K:L,2,FALSE)</f>
        <v>Cotswold</v>
      </c>
      <c r="F80" s="292"/>
      <c r="G80" s="292"/>
      <c r="H80" s="292"/>
      <c r="I80" s="292"/>
      <c r="J80" s="292"/>
      <c r="K80" s="292"/>
      <c r="L80" s="292"/>
      <c r="M80" s="292"/>
      <c r="N80" s="292"/>
      <c r="O80" s="292"/>
      <c r="P80" s="292"/>
      <c r="Q80" s="292"/>
      <c r="R80" s="292"/>
      <c r="S80" s="292"/>
      <c r="T80" s="292"/>
      <c r="U80" s="289">
        <f>IF('Filtered Data'!$H$8="%.",(VLOOKUP(B80,'Filtered Data'!K:M,3,FALSE))/100,VLOOKUP(B80,'Filtered Data'!K:M,3,FALSE))</f>
        <v>373.4</v>
      </c>
      <c r="V80" s="289"/>
      <c r="W80" s="289"/>
      <c r="X80" s="289"/>
      <c r="Y80" s="181" t="str">
        <f>IF((VLOOKUP(E80,classifications!C:K,9,FALSE))="Sparse","S","")</f>
        <v>S</v>
      </c>
      <c r="Z80" s="181"/>
      <c r="AA80" s="181"/>
      <c r="AB80" s="181"/>
      <c r="AC80" s="181"/>
      <c r="AD80" s="298"/>
      <c r="AE80" s="298"/>
      <c r="AF80" s="298"/>
      <c r="AG80" s="298"/>
      <c r="AH80" s="298"/>
      <c r="AI80" s="298"/>
      <c r="AJ80" s="298"/>
      <c r="AK80" s="298"/>
      <c r="AL80" s="298"/>
      <c r="AP80" s="85"/>
    </row>
    <row r="81" spans="1:48" ht="12" customHeight="1">
      <c r="B81" s="335">
        <v>16</v>
      </c>
      <c r="C81" s="291"/>
      <c r="D81" s="291"/>
      <c r="E81" s="292" t="str">
        <f>VLOOKUP(B81,'Filtered Data'!K:L,2,FALSE)</f>
        <v>Mid Devon</v>
      </c>
      <c r="F81" s="292"/>
      <c r="G81" s="292"/>
      <c r="H81" s="292"/>
      <c r="I81" s="292"/>
      <c r="J81" s="292"/>
      <c r="K81" s="292"/>
      <c r="L81" s="292"/>
      <c r="M81" s="292"/>
      <c r="N81" s="292"/>
      <c r="O81" s="292"/>
      <c r="P81" s="292"/>
      <c r="Q81" s="292"/>
      <c r="R81" s="292"/>
      <c r="S81" s="292"/>
      <c r="T81" s="292"/>
      <c r="U81" s="289">
        <f>IF('Filtered Data'!$H$8="%.",(VLOOKUP(B81,'Filtered Data'!K:M,3,FALSE))/100,VLOOKUP(B81,'Filtered Data'!K:M,3,FALSE))</f>
        <v>376.8</v>
      </c>
      <c r="V81" s="289"/>
      <c r="W81" s="289"/>
      <c r="X81" s="289"/>
      <c r="Y81" s="181" t="str">
        <f>IF((VLOOKUP(E81,classifications!C:K,9,FALSE))="Sparse","S","")</f>
        <v>S</v>
      </c>
      <c r="Z81" s="181"/>
      <c r="AA81" s="181"/>
      <c r="AB81" s="181"/>
      <c r="AC81" s="181"/>
      <c r="AD81" s="298"/>
      <c r="AE81" s="298"/>
      <c r="AF81" s="298"/>
      <c r="AG81" s="298"/>
      <c r="AH81" s="298"/>
      <c r="AI81" s="298"/>
      <c r="AJ81" s="298"/>
      <c r="AK81" s="298"/>
      <c r="AL81" s="298"/>
      <c r="AP81" s="85"/>
    </row>
    <row r="82" spans="1:48" ht="12" customHeight="1">
      <c r="B82" s="335">
        <v>17</v>
      </c>
      <c r="C82" s="291"/>
      <c r="D82" s="291"/>
      <c r="E82" s="292" t="str">
        <f>VLOOKUP(B82,'Filtered Data'!K:L,2,FALSE)</f>
        <v>North Hertfordshire</v>
      </c>
      <c r="F82" s="292"/>
      <c r="G82" s="292"/>
      <c r="H82" s="292"/>
      <c r="I82" s="292"/>
      <c r="J82" s="292"/>
      <c r="K82" s="292"/>
      <c r="L82" s="292"/>
      <c r="M82" s="292"/>
      <c r="N82" s="292"/>
      <c r="O82" s="292"/>
      <c r="P82" s="292"/>
      <c r="Q82" s="292"/>
      <c r="R82" s="292"/>
      <c r="S82" s="292"/>
      <c r="T82" s="292"/>
      <c r="U82" s="289">
        <f>IF('Filtered Data'!$H$8="%.",(VLOOKUP(B82,'Filtered Data'!K:M,3,FALSE))/100,VLOOKUP(B82,'Filtered Data'!K:M,3,FALSE))</f>
        <v>378.2</v>
      </c>
      <c r="V82" s="289"/>
      <c r="W82" s="289"/>
      <c r="X82" s="289"/>
      <c r="Y82" s="181" t="str">
        <f>IF((VLOOKUP(E82,classifications!C:K,9,FALSE))="Sparse","S","")</f>
        <v/>
      </c>
      <c r="Z82" s="181"/>
      <c r="AA82" s="181"/>
      <c r="AB82" s="181"/>
      <c r="AC82" s="181"/>
      <c r="AD82" s="298"/>
      <c r="AE82" s="298"/>
      <c r="AF82" s="298"/>
      <c r="AG82" s="298"/>
      <c r="AH82" s="298"/>
      <c r="AI82" s="298"/>
      <c r="AJ82" s="298"/>
      <c r="AK82" s="298"/>
      <c r="AL82" s="298"/>
      <c r="AP82" s="85"/>
    </row>
    <row r="83" spans="1:48" ht="12" customHeight="1">
      <c r="B83" s="335">
        <v>18</v>
      </c>
      <c r="C83" s="291"/>
      <c r="D83" s="291"/>
      <c r="E83" s="292" t="str">
        <f>VLOOKUP(B83,'Filtered Data'!K:L,2,FALSE)</f>
        <v>Tandridge</v>
      </c>
      <c r="F83" s="292"/>
      <c r="G83" s="292"/>
      <c r="H83" s="292"/>
      <c r="I83" s="292"/>
      <c r="J83" s="292"/>
      <c r="K83" s="292"/>
      <c r="L83" s="292"/>
      <c r="M83" s="292"/>
      <c r="N83" s="292"/>
      <c r="O83" s="292"/>
      <c r="P83" s="292"/>
      <c r="Q83" s="292"/>
      <c r="R83" s="292"/>
      <c r="S83" s="292"/>
      <c r="T83" s="292"/>
      <c r="U83" s="289">
        <f>IF('Filtered Data'!$H$8="%.",(VLOOKUP(B83,'Filtered Data'!K:M,3,FALSE))/100,VLOOKUP(B83,'Filtered Data'!K:M,3,FALSE))</f>
        <v>379.6</v>
      </c>
      <c r="V83" s="289"/>
      <c r="W83" s="289"/>
      <c r="X83" s="289"/>
      <c r="Y83" s="181" t="str">
        <f>IF((VLOOKUP(E83,classifications!C:K,9,FALSE))="Sparse","S","")</f>
        <v/>
      </c>
      <c r="Z83" s="181"/>
      <c r="AA83" s="181"/>
      <c r="AB83" s="181"/>
      <c r="AC83" s="181"/>
      <c r="AD83" s="298"/>
      <c r="AE83" s="298"/>
      <c r="AF83" s="298"/>
      <c r="AG83" s="298"/>
      <c r="AH83" s="298"/>
      <c r="AI83" s="298"/>
      <c r="AJ83" s="298"/>
      <c r="AK83" s="298"/>
      <c r="AL83" s="298"/>
      <c r="AP83" s="85"/>
    </row>
    <row r="84" spans="1:48" ht="12" customHeight="1">
      <c r="B84" s="335">
        <v>19</v>
      </c>
      <c r="C84" s="291"/>
      <c r="D84" s="291"/>
      <c r="E84" s="292" t="str">
        <f>VLOOKUP(B84,'Filtered Data'!K:L,2,FALSE)</f>
        <v>Maldon</v>
      </c>
      <c r="F84" s="292"/>
      <c r="G84" s="292"/>
      <c r="H84" s="292"/>
      <c r="I84" s="292"/>
      <c r="J84" s="292"/>
      <c r="K84" s="292"/>
      <c r="L84" s="292"/>
      <c r="M84" s="292"/>
      <c r="N84" s="292"/>
      <c r="O84" s="292"/>
      <c r="P84" s="292"/>
      <c r="Q84" s="292"/>
      <c r="R84" s="292"/>
      <c r="S84" s="292"/>
      <c r="T84" s="292"/>
      <c r="U84" s="289">
        <f>IF('Filtered Data'!$H$8="%.",(VLOOKUP(B84,'Filtered Data'!K:M,3,FALSE))/100,VLOOKUP(B84,'Filtered Data'!K:M,3,FALSE))</f>
        <v>387.2</v>
      </c>
      <c r="V84" s="289"/>
      <c r="W84" s="289"/>
      <c r="X84" s="289"/>
      <c r="Y84" s="181" t="str">
        <f>IF((VLOOKUP(E84,classifications!C:K,9,FALSE))="Sparse","S","")</f>
        <v/>
      </c>
      <c r="Z84" s="181"/>
      <c r="AA84" s="181"/>
      <c r="AB84" s="181"/>
      <c r="AC84" s="181"/>
      <c r="AD84" s="298"/>
      <c r="AE84" s="298"/>
      <c r="AF84" s="298"/>
      <c r="AG84" s="298"/>
      <c r="AH84" s="298"/>
      <c r="AI84" s="298"/>
      <c r="AJ84" s="298"/>
      <c r="AK84" s="298"/>
      <c r="AL84" s="298"/>
      <c r="AP84" s="85"/>
    </row>
    <row r="85" spans="1:48" ht="12" customHeight="1">
      <c r="B85" s="335">
        <v>20</v>
      </c>
      <c r="C85" s="335"/>
      <c r="D85" s="335"/>
      <c r="E85" s="292" t="str">
        <f>VLOOKUP(B85,'Filtered Data'!K:L,2,FALSE)</f>
        <v>Waverley</v>
      </c>
      <c r="F85" s="292"/>
      <c r="G85" s="292"/>
      <c r="H85" s="292"/>
      <c r="I85" s="292"/>
      <c r="J85" s="292"/>
      <c r="K85" s="292"/>
      <c r="L85" s="292"/>
      <c r="M85" s="292"/>
      <c r="N85" s="292"/>
      <c r="O85" s="292"/>
      <c r="P85" s="292"/>
      <c r="Q85" s="292"/>
      <c r="R85" s="292"/>
      <c r="S85" s="292"/>
      <c r="T85" s="292"/>
      <c r="U85" s="289">
        <f>IF('Filtered Data'!$H$8="%.",(VLOOKUP(B85,'Filtered Data'!K:M,3,FALSE))/100,VLOOKUP(B85,'Filtered Data'!K:M,3,FALSE))</f>
        <v>388.9</v>
      </c>
      <c r="V85" s="289"/>
      <c r="W85" s="289"/>
      <c r="X85" s="289"/>
      <c r="Y85" s="181" t="str">
        <f>IF((VLOOKUP(E85,classifications!C:K,9,FALSE))="Sparse","S","")</f>
        <v/>
      </c>
      <c r="Z85" s="181"/>
      <c r="AA85" s="181"/>
      <c r="AB85" s="181"/>
      <c r="AC85" s="181"/>
      <c r="AD85" s="298"/>
      <c r="AE85" s="298"/>
      <c r="AF85" s="298"/>
      <c r="AG85" s="298"/>
      <c r="AH85" s="298"/>
      <c r="AI85" s="298"/>
      <c r="AJ85" s="298"/>
      <c r="AK85" s="298"/>
      <c r="AL85" s="298"/>
      <c r="AP85" s="85"/>
    </row>
    <row r="86" spans="1:48" ht="12" customHeight="1">
      <c r="A86" s="80"/>
      <c r="B86" s="362">
        <f>IF(Q37&lt;=MAX(B66:D85),"",Q37)</f>
        <v>151</v>
      </c>
      <c r="C86" s="362"/>
      <c r="D86" s="362"/>
      <c r="E86" s="361" t="str">
        <f>IF(B86="","",VLOOKUP(B86,'Filtered Data'!K:L,2,FALSE))</f>
        <v>Allerdale</v>
      </c>
      <c r="F86" s="361"/>
      <c r="G86" s="361"/>
      <c r="H86" s="361"/>
      <c r="I86" s="361"/>
      <c r="J86" s="361"/>
      <c r="K86" s="361"/>
      <c r="L86" s="361"/>
      <c r="M86" s="361"/>
      <c r="N86" s="361"/>
      <c r="O86" s="361"/>
      <c r="P86" s="361"/>
      <c r="Q86" s="361"/>
      <c r="R86" s="361"/>
      <c r="S86" s="361"/>
      <c r="T86" s="361"/>
      <c r="U86" s="301">
        <f>IF(B86="","",L35)</f>
        <v>560.1</v>
      </c>
      <c r="V86" s="301"/>
      <c r="W86" s="301"/>
      <c r="X86" s="301"/>
      <c r="Y86" s="181" t="str">
        <f>IF(B86="","",IF((VLOOKUP(E86,classifications!C:K,9,FALSE))="Sparse","S",""))</f>
        <v>S</v>
      </c>
      <c r="Z86" s="181"/>
      <c r="AA86" s="181"/>
      <c r="AB86" s="181"/>
      <c r="AC86" s="181"/>
      <c r="AD86" s="299"/>
      <c r="AE86" s="299"/>
      <c r="AF86" s="299"/>
      <c r="AG86" s="299"/>
      <c r="AH86" s="299"/>
      <c r="AI86" s="299"/>
      <c r="AJ86" s="299"/>
      <c r="AK86" s="299"/>
      <c r="AL86" s="299"/>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County Authorities:</v>
      </c>
      <c r="K89" s="1" t="str">
        <f>IF('Filtered Data'!D1="UA",J9,J10)</f>
        <v>Cumbria</v>
      </c>
      <c r="U89" s="1"/>
      <c r="AD89" s="1"/>
      <c r="AP89" s="85"/>
    </row>
    <row r="90" spans="1:48" ht="12" customHeight="1">
      <c r="B90" s="1"/>
      <c r="AP90" s="85"/>
    </row>
    <row r="91" spans="1:48" ht="12" customHeight="1">
      <c r="B91" s="300" t="str">
        <f>IF('Filtered Data'!D1="MD","",IF('Filtered Data'!D1="SC","","Rank"))</f>
        <v>Rank</v>
      </c>
      <c r="C91" s="300"/>
      <c r="D91" s="300"/>
      <c r="E91" s="293" t="str">
        <f>IF('Filtered Data'!D1="MD","",IF('Filtered Data'!D1="SC","","Authority"))</f>
        <v>Authority</v>
      </c>
      <c r="F91" s="293"/>
      <c r="G91" s="293"/>
      <c r="H91" s="293"/>
      <c r="I91" s="293"/>
      <c r="J91" s="293"/>
      <c r="K91" s="293"/>
      <c r="L91" s="293"/>
      <c r="M91" s="293"/>
      <c r="N91" s="293"/>
      <c r="O91" s="281"/>
      <c r="P91" s="281"/>
      <c r="Q91" s="281"/>
      <c r="R91" s="281"/>
      <c r="S91" s="281"/>
      <c r="T91" s="281"/>
      <c r="U91" s="300" t="str">
        <f>IF('Filtered Data'!D1="MD","",IF('Filtered Data'!D1="SC","","Value"))</f>
        <v>Value</v>
      </c>
      <c r="V91" s="300"/>
      <c r="W91" s="300"/>
      <c r="AA91" s="300"/>
      <c r="AB91" s="300"/>
      <c r="AC91" s="300"/>
      <c r="AD91" s="293"/>
      <c r="AE91" s="293"/>
      <c r="AF91" s="293"/>
      <c r="AG91" s="293"/>
      <c r="AH91" s="293"/>
      <c r="AI91" s="293"/>
      <c r="AJ91" s="293"/>
      <c r="AK91" s="293"/>
      <c r="AL91" s="293"/>
      <c r="AM91" s="293"/>
      <c r="AN91" s="300"/>
      <c r="AO91" s="300"/>
      <c r="AP91" s="300"/>
      <c r="AV91" s="85"/>
    </row>
    <row r="92" spans="1:48" ht="12" customHeight="1">
      <c r="B92" s="290">
        <f>IF('Filtered Data'!$D$1="MD","",IF('Filtered Data'!$D$1="SC","",IF('Filtered Data'!$D$1="UA",'Filtered Data'!AS11,'Filtered Data'!AL11)))</f>
        <v>1</v>
      </c>
      <c r="C92" s="291"/>
      <c r="D92" s="291"/>
      <c r="E92" s="361" t="str">
        <f>IF(B92="","",IF('Filtered Data'!$D$1="UA",VLOOKUP(B92,'Filtered Data'!AS:AU,2,FALSE),VLOOKUP(B92,'Filtered Data'!AL:AN,2,FALSE)))</f>
        <v>Eden</v>
      </c>
      <c r="F92" s="361"/>
      <c r="G92" s="361"/>
      <c r="H92" s="361"/>
      <c r="I92" s="361"/>
      <c r="J92" s="361"/>
      <c r="K92" s="361"/>
      <c r="L92" s="361"/>
      <c r="M92" s="361"/>
      <c r="N92" s="361"/>
      <c r="O92" s="361"/>
      <c r="P92" s="361"/>
      <c r="Q92" s="361"/>
      <c r="R92" s="361"/>
      <c r="S92" s="361"/>
      <c r="T92" s="361"/>
      <c r="U92" s="28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449</v>
      </c>
      <c r="V92" s="289"/>
      <c r="W92" s="289"/>
      <c r="X92" s="289"/>
      <c r="Y92" s="182" t="str">
        <f>IF(E92="","",IF((VLOOKUP(E92,classifications!C:K,9,FALSE))="Sparse","S",""))</f>
        <v>S</v>
      </c>
      <c r="AA92" s="290"/>
      <c r="AB92" s="291"/>
      <c r="AC92" s="291"/>
      <c r="AD92" s="292"/>
      <c r="AE92" s="292"/>
      <c r="AF92" s="292"/>
      <c r="AG92" s="292"/>
      <c r="AH92" s="292"/>
      <c r="AI92" s="292"/>
      <c r="AJ92" s="292"/>
      <c r="AK92" s="292"/>
      <c r="AL92" s="292"/>
      <c r="AM92" s="292"/>
      <c r="AN92" s="288"/>
      <c r="AO92" s="288"/>
      <c r="AP92" s="288"/>
      <c r="AQ92" s="288"/>
      <c r="AR92" s="182"/>
      <c r="AV92" s="85"/>
    </row>
    <row r="93" spans="1:48" ht="12" customHeight="1">
      <c r="B93" s="290">
        <f>IF('Filtered Data'!$D$1="MD","",IF('Filtered Data'!$D$1="SC","",IF('Filtered Data'!$D$1="UA",'Filtered Data'!AS12,'Filtered Data'!AL12)))</f>
        <v>2</v>
      </c>
      <c r="C93" s="291"/>
      <c r="D93" s="291"/>
      <c r="E93" s="361" t="str">
        <f>IF(B93="","",IF('Filtered Data'!$D$1="UA",VLOOKUP(B93,'Filtered Data'!AS:AU,2,FALSE),VLOOKUP(B93,'Filtered Data'!AL:AN,2,FALSE)))</f>
        <v>South Lakeland</v>
      </c>
      <c r="F93" s="361"/>
      <c r="G93" s="361"/>
      <c r="H93" s="361"/>
      <c r="I93" s="361"/>
      <c r="J93" s="361"/>
      <c r="K93" s="361"/>
      <c r="L93" s="361"/>
      <c r="M93" s="361"/>
      <c r="N93" s="361"/>
      <c r="O93" s="361"/>
      <c r="P93" s="361"/>
      <c r="Q93" s="361"/>
      <c r="R93" s="361"/>
      <c r="S93" s="361"/>
      <c r="T93" s="361"/>
      <c r="U93" s="28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491.5</v>
      </c>
      <c r="V93" s="289"/>
      <c r="W93" s="289"/>
      <c r="X93" s="289"/>
      <c r="Y93" s="182" t="str">
        <f>IF(E93="","",IF((VLOOKUP(E93,classifications!C:K,9,FALSE))="Sparse","S",""))</f>
        <v>S</v>
      </c>
      <c r="AA93" s="290"/>
      <c r="AB93" s="291"/>
      <c r="AC93" s="291"/>
      <c r="AD93" s="292"/>
      <c r="AE93" s="292"/>
      <c r="AF93" s="292"/>
      <c r="AG93" s="292"/>
      <c r="AH93" s="292"/>
      <c r="AI93" s="292"/>
      <c r="AJ93" s="292"/>
      <c r="AK93" s="292"/>
      <c r="AL93" s="292"/>
      <c r="AM93" s="292"/>
      <c r="AN93" s="288"/>
      <c r="AO93" s="288"/>
      <c r="AP93" s="288"/>
      <c r="AQ93" s="288"/>
      <c r="AR93" s="182"/>
      <c r="AV93" s="85"/>
    </row>
    <row r="94" spans="1:48" ht="12" customHeight="1">
      <c r="B94" s="290">
        <f>IF('Filtered Data'!$D$1="MD","",IF('Filtered Data'!$D$1="SC","",IF('Filtered Data'!$D$1="UA",'Filtered Data'!AS13,'Filtered Data'!AL13)))</f>
        <v>3</v>
      </c>
      <c r="C94" s="291"/>
      <c r="D94" s="291"/>
      <c r="E94" s="361" t="str">
        <f>IF(B94="","",IF('Filtered Data'!$D$1="UA",VLOOKUP(B94,'Filtered Data'!AS:AU,2,FALSE),VLOOKUP(B94,'Filtered Data'!AL:AN,2,FALSE)))</f>
        <v>Carlisle</v>
      </c>
      <c r="F94" s="361"/>
      <c r="G94" s="361"/>
      <c r="H94" s="361"/>
      <c r="I94" s="361"/>
      <c r="J94" s="361"/>
      <c r="K94" s="361"/>
      <c r="L94" s="361"/>
      <c r="M94" s="361"/>
      <c r="N94" s="361"/>
      <c r="O94" s="361"/>
      <c r="P94" s="361"/>
      <c r="Q94" s="361"/>
      <c r="R94" s="361"/>
      <c r="S94" s="361"/>
      <c r="T94" s="361"/>
      <c r="U94" s="28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518.20000000000005</v>
      </c>
      <c r="V94" s="289"/>
      <c r="W94" s="289"/>
      <c r="X94" s="289"/>
      <c r="Y94" s="182" t="str">
        <f>IF(E94="","",IF((VLOOKUP(E94,classifications!C:K,9,FALSE))="Sparse","S",""))</f>
        <v/>
      </c>
      <c r="AA94" s="290"/>
      <c r="AB94" s="291"/>
      <c r="AC94" s="291"/>
      <c r="AD94" s="292"/>
      <c r="AE94" s="292"/>
      <c r="AF94" s="292"/>
      <c r="AG94" s="292"/>
      <c r="AH94" s="292"/>
      <c r="AI94" s="292"/>
      <c r="AJ94" s="292"/>
      <c r="AK94" s="292"/>
      <c r="AL94" s="292"/>
      <c r="AM94" s="292"/>
      <c r="AN94" s="288"/>
      <c r="AO94" s="288"/>
      <c r="AP94" s="288"/>
      <c r="AQ94" s="288"/>
      <c r="AR94" s="182"/>
      <c r="AV94" s="85"/>
    </row>
    <row r="95" spans="1:48" ht="12" customHeight="1">
      <c r="B95" s="290">
        <f>IF('Filtered Data'!$D$1="MD","",IF('Filtered Data'!$D$1="SC","",IF('Filtered Data'!$D$1="UA",'Filtered Data'!AS14,'Filtered Data'!AL14)))</f>
        <v>4</v>
      </c>
      <c r="C95" s="291"/>
      <c r="D95" s="291"/>
      <c r="E95" s="361" t="str">
        <f>IF(B95="","",IF('Filtered Data'!$D$1="UA",VLOOKUP(B95,'Filtered Data'!AS:AU,2,FALSE),VLOOKUP(B95,'Filtered Data'!AL:AN,2,FALSE)))</f>
        <v>Copeland</v>
      </c>
      <c r="F95" s="361"/>
      <c r="G95" s="361"/>
      <c r="H95" s="361"/>
      <c r="I95" s="361"/>
      <c r="J95" s="361"/>
      <c r="K95" s="361"/>
      <c r="L95" s="361"/>
      <c r="M95" s="361"/>
      <c r="N95" s="361"/>
      <c r="O95" s="361"/>
      <c r="P95" s="361"/>
      <c r="Q95" s="361"/>
      <c r="R95" s="361"/>
      <c r="S95" s="361"/>
      <c r="T95" s="361"/>
      <c r="U95" s="28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538.79999999999995</v>
      </c>
      <c r="V95" s="289"/>
      <c r="W95" s="289"/>
      <c r="X95" s="289"/>
      <c r="Y95" s="182" t="str">
        <f>IF(E95="","",IF((VLOOKUP(E95,classifications!C:K,9,FALSE))="Sparse","S",""))</f>
        <v>S</v>
      </c>
      <c r="AA95" s="290"/>
      <c r="AB95" s="291"/>
      <c r="AC95" s="291"/>
      <c r="AD95" s="292"/>
      <c r="AE95" s="292"/>
      <c r="AF95" s="292"/>
      <c r="AG95" s="292"/>
      <c r="AH95" s="292"/>
      <c r="AI95" s="292"/>
      <c r="AJ95" s="292"/>
      <c r="AK95" s="292"/>
      <c r="AL95" s="292"/>
      <c r="AM95" s="292"/>
      <c r="AN95" s="288"/>
      <c r="AO95" s="288"/>
      <c r="AP95" s="288"/>
      <c r="AQ95" s="288"/>
      <c r="AR95" s="182"/>
      <c r="AV95" s="85"/>
    </row>
    <row r="96" spans="1:48" ht="12" customHeight="1">
      <c r="B96" s="290">
        <f>IF('Filtered Data'!$D$1="MD","",IF('Filtered Data'!$D$1="SC","",IF('Filtered Data'!$D$1="UA",'Filtered Data'!AS15,'Filtered Data'!AL15)))</f>
        <v>5</v>
      </c>
      <c r="C96" s="291"/>
      <c r="D96" s="291"/>
      <c r="E96" s="361" t="str">
        <f>IF(B96="","",IF('Filtered Data'!$D$1="UA",VLOOKUP(B96,'Filtered Data'!AS:AU,2,FALSE),VLOOKUP(B96,'Filtered Data'!AL:AN,2,FALSE)))</f>
        <v>Allerdale</v>
      </c>
      <c r="F96" s="361"/>
      <c r="G96" s="361"/>
      <c r="H96" s="361"/>
      <c r="I96" s="361"/>
      <c r="J96" s="361"/>
      <c r="K96" s="361"/>
      <c r="L96" s="361"/>
      <c r="M96" s="361"/>
      <c r="N96" s="361"/>
      <c r="O96" s="361"/>
      <c r="P96" s="361"/>
      <c r="Q96" s="361"/>
      <c r="R96" s="361"/>
      <c r="S96" s="361"/>
      <c r="T96" s="361"/>
      <c r="U96" s="28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560.1</v>
      </c>
      <c r="V96" s="289"/>
      <c r="W96" s="289"/>
      <c r="X96" s="289"/>
      <c r="Y96" s="182" t="str">
        <f>IF(E96="","",IF((VLOOKUP(E96,classifications!C:K,9,FALSE))="Sparse","S",""))</f>
        <v>S</v>
      </c>
      <c r="AA96" s="290"/>
      <c r="AB96" s="291"/>
      <c r="AC96" s="291"/>
      <c r="AD96" s="292"/>
      <c r="AE96" s="292"/>
      <c r="AF96" s="292"/>
      <c r="AG96" s="292"/>
      <c r="AH96" s="292"/>
      <c r="AI96" s="292"/>
      <c r="AJ96" s="292"/>
      <c r="AK96" s="292"/>
      <c r="AL96" s="292"/>
      <c r="AM96" s="292"/>
      <c r="AN96" s="288"/>
      <c r="AO96" s="288"/>
      <c r="AP96" s="288"/>
      <c r="AQ96" s="288"/>
      <c r="AR96" s="182"/>
      <c r="AV96" s="85"/>
    </row>
    <row r="97" spans="2:48" ht="12" customHeight="1">
      <c r="B97" s="290">
        <f>IF('Filtered Data'!$D$1="MD","",IF('Filtered Data'!$D$1="SC","",IF('Filtered Data'!$D$1="UA",'Filtered Data'!AS16,'Filtered Data'!AL16)))</f>
        <v>6</v>
      </c>
      <c r="C97" s="291"/>
      <c r="D97" s="291"/>
      <c r="E97" s="361" t="str">
        <f>IF(B97="","",IF('Filtered Data'!$D$1="UA",VLOOKUP(B97,'Filtered Data'!AS:AU,2,FALSE),VLOOKUP(B97,'Filtered Data'!AL:AN,2,FALSE)))</f>
        <v>Barrow-in-Furness</v>
      </c>
      <c r="F97" s="361"/>
      <c r="G97" s="361"/>
      <c r="H97" s="361"/>
      <c r="I97" s="361"/>
      <c r="J97" s="361"/>
      <c r="K97" s="361"/>
      <c r="L97" s="361"/>
      <c r="M97" s="361"/>
      <c r="N97" s="361"/>
      <c r="O97" s="361"/>
      <c r="P97" s="361"/>
      <c r="Q97" s="361"/>
      <c r="R97" s="361"/>
      <c r="S97" s="361"/>
      <c r="T97" s="361"/>
      <c r="U97" s="28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640</v>
      </c>
      <c r="V97" s="289"/>
      <c r="W97" s="289"/>
      <c r="X97" s="289"/>
      <c r="Y97" s="182" t="str">
        <f>IF(E97="","",IF((VLOOKUP(E97,classifications!C:K,9,FALSE))="Sparse","S",""))</f>
        <v/>
      </c>
      <c r="AA97" s="290"/>
      <c r="AB97" s="291"/>
      <c r="AC97" s="291"/>
      <c r="AD97" s="292"/>
      <c r="AE97" s="292"/>
      <c r="AF97" s="292"/>
      <c r="AG97" s="292"/>
      <c r="AH97" s="292"/>
      <c r="AI97" s="292"/>
      <c r="AJ97" s="292"/>
      <c r="AK97" s="292"/>
      <c r="AL97" s="292"/>
      <c r="AM97" s="292"/>
      <c r="AN97" s="288"/>
      <c r="AO97" s="288"/>
      <c r="AP97" s="288"/>
      <c r="AQ97" s="288"/>
      <c r="AR97" s="182"/>
      <c r="AV97" s="85"/>
    </row>
    <row r="98" spans="2:48" ht="12" customHeight="1">
      <c r="B98" s="290" t="str">
        <f>IF('Filtered Data'!$D$1="MD","",IF('Filtered Data'!$D$1="SC","",IF('Filtered Data'!$D$1="UA",'Filtered Data'!AS17,'Filtered Data'!AL17)))</f>
        <v/>
      </c>
      <c r="C98" s="291"/>
      <c r="D98" s="291"/>
      <c r="E98" s="361" t="str">
        <f>IF(B98="","",IF('Filtered Data'!$D$1="UA",VLOOKUP(B98,'Filtered Data'!AS:AU,2,FALSE),VLOOKUP(B98,'Filtered Data'!AL:AN,2,FALSE)))</f>
        <v/>
      </c>
      <c r="F98" s="361"/>
      <c r="G98" s="361"/>
      <c r="H98" s="361"/>
      <c r="I98" s="361"/>
      <c r="J98" s="361"/>
      <c r="K98" s="361"/>
      <c r="L98" s="361"/>
      <c r="M98" s="361"/>
      <c r="N98" s="361"/>
      <c r="O98" s="361"/>
      <c r="P98" s="361"/>
      <c r="Q98" s="361"/>
      <c r="R98" s="361"/>
      <c r="S98" s="361"/>
      <c r="T98" s="361"/>
      <c r="U98" s="28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89"/>
      <c r="W98" s="289"/>
      <c r="X98" s="289"/>
      <c r="Y98" s="182" t="str">
        <f>IF(E98="","",IF((VLOOKUP(E98,classifications!C:K,9,FALSE))="Sparse","S",""))</f>
        <v/>
      </c>
      <c r="AA98" s="290"/>
      <c r="AB98" s="291"/>
      <c r="AC98" s="291"/>
      <c r="AD98" s="292"/>
      <c r="AE98" s="292"/>
      <c r="AF98" s="292"/>
      <c r="AG98" s="292"/>
      <c r="AH98" s="292"/>
      <c r="AI98" s="292"/>
      <c r="AJ98" s="292"/>
      <c r="AK98" s="292"/>
      <c r="AL98" s="292"/>
      <c r="AM98" s="292"/>
      <c r="AN98" s="288"/>
      <c r="AO98" s="288"/>
      <c r="AP98" s="288"/>
      <c r="AQ98" s="288"/>
      <c r="AR98" s="182"/>
      <c r="AV98" s="85"/>
    </row>
    <row r="99" spans="2:48" ht="12" customHeight="1">
      <c r="B99" s="290" t="str">
        <f>IF('Filtered Data'!$D$1="MD","",IF('Filtered Data'!$D$1="SC","",IF('Filtered Data'!$D$1="UA",'Filtered Data'!AS18,'Filtered Data'!AL18)))</f>
        <v/>
      </c>
      <c r="C99" s="291"/>
      <c r="D99" s="291"/>
      <c r="E99" s="361" t="str">
        <f>IF(B99="","",IF('Filtered Data'!$D$1="UA",VLOOKUP(B99,'Filtered Data'!AS:AU,2,FALSE),VLOOKUP(B99,'Filtered Data'!AL:AN,2,FALSE)))</f>
        <v/>
      </c>
      <c r="F99" s="361"/>
      <c r="G99" s="361"/>
      <c r="H99" s="361"/>
      <c r="I99" s="361"/>
      <c r="J99" s="361"/>
      <c r="K99" s="361"/>
      <c r="L99" s="361"/>
      <c r="M99" s="361"/>
      <c r="N99" s="361"/>
      <c r="O99" s="361"/>
      <c r="P99" s="361"/>
      <c r="Q99" s="361"/>
      <c r="R99" s="361"/>
      <c r="S99" s="361"/>
      <c r="T99" s="361"/>
      <c r="U99" s="28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89"/>
      <c r="W99" s="289"/>
      <c r="X99" s="289"/>
      <c r="Y99" s="182" t="str">
        <f>IF(E99="","",IF((VLOOKUP(E99,classifications!C:K,9,FALSE))="Sparse","S",""))</f>
        <v/>
      </c>
      <c r="AA99" s="290"/>
      <c r="AB99" s="291"/>
      <c r="AC99" s="291"/>
      <c r="AD99" s="292"/>
      <c r="AE99" s="292"/>
      <c r="AF99" s="292"/>
      <c r="AG99" s="292"/>
      <c r="AH99" s="292"/>
      <c r="AI99" s="292"/>
      <c r="AJ99" s="292"/>
      <c r="AK99" s="292"/>
      <c r="AL99" s="292"/>
      <c r="AM99" s="292"/>
      <c r="AN99" s="288"/>
      <c r="AO99" s="288"/>
      <c r="AP99" s="288"/>
      <c r="AQ99" s="288"/>
      <c r="AR99" s="182"/>
      <c r="AV99" s="85"/>
    </row>
    <row r="100" spans="2:48" ht="12" customHeight="1">
      <c r="B100" s="290" t="str">
        <f>IF('Filtered Data'!$D$1="MD","",IF('Filtered Data'!$D$1="SC","",IF('Filtered Data'!$D$1="UA",'Filtered Data'!AS19,'Filtered Data'!AL19)))</f>
        <v/>
      </c>
      <c r="C100" s="291"/>
      <c r="D100" s="291"/>
      <c r="E100" s="361" t="str">
        <f>IF(B100="","",IF('Filtered Data'!$D$1="UA",VLOOKUP(B100,'Filtered Data'!AS:AU,2,FALSE),VLOOKUP(B100,'Filtered Data'!AL:AN,2,FALSE)))</f>
        <v/>
      </c>
      <c r="F100" s="361"/>
      <c r="G100" s="361"/>
      <c r="H100" s="361"/>
      <c r="I100" s="361"/>
      <c r="J100" s="361"/>
      <c r="K100" s="361"/>
      <c r="L100" s="361"/>
      <c r="M100" s="361"/>
      <c r="N100" s="361"/>
      <c r="O100" s="361"/>
      <c r="P100" s="361"/>
      <c r="Q100" s="361"/>
      <c r="R100" s="361"/>
      <c r="S100" s="361"/>
      <c r="T100" s="361"/>
      <c r="U100" s="28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89"/>
      <c r="W100" s="289"/>
      <c r="X100" s="289"/>
      <c r="Y100" s="182" t="str">
        <f>IF(E100="","",IF((VLOOKUP(E100,classifications!C:K,9,FALSE))="Sparse","S",""))</f>
        <v/>
      </c>
      <c r="AA100" s="290"/>
      <c r="AB100" s="291"/>
      <c r="AC100" s="291"/>
      <c r="AD100" s="292"/>
      <c r="AE100" s="292"/>
      <c r="AF100" s="292"/>
      <c r="AG100" s="292"/>
      <c r="AH100" s="292"/>
      <c r="AI100" s="292"/>
      <c r="AJ100" s="292"/>
      <c r="AK100" s="292"/>
      <c r="AL100" s="292"/>
      <c r="AM100" s="292"/>
      <c r="AN100" s="288"/>
      <c r="AO100" s="288"/>
      <c r="AP100" s="288"/>
      <c r="AQ100" s="288"/>
      <c r="AR100" s="182"/>
      <c r="AV100" s="85"/>
    </row>
    <row r="101" spans="2:48" ht="12" customHeight="1">
      <c r="B101" s="290" t="str">
        <f>IF('Filtered Data'!$D$1="MD","",IF('Filtered Data'!$D$1="SC","",IF('Filtered Data'!$D$1="UA",'Filtered Data'!AS20,'Filtered Data'!AL20)))</f>
        <v/>
      </c>
      <c r="C101" s="291"/>
      <c r="D101" s="291"/>
      <c r="E101" s="361" t="str">
        <f>IF(B101="","",IF('Filtered Data'!$D$1="UA",VLOOKUP(B101,'Filtered Data'!AS:AU,2,FALSE),VLOOKUP(B101,'Filtered Data'!AL:AN,2,FALSE)))</f>
        <v/>
      </c>
      <c r="F101" s="361"/>
      <c r="G101" s="361"/>
      <c r="H101" s="361"/>
      <c r="I101" s="361"/>
      <c r="J101" s="361"/>
      <c r="K101" s="361"/>
      <c r="L101" s="361"/>
      <c r="M101" s="361"/>
      <c r="N101" s="361"/>
      <c r="O101" s="361"/>
      <c r="P101" s="361"/>
      <c r="Q101" s="361"/>
      <c r="R101" s="361"/>
      <c r="S101" s="361"/>
      <c r="T101" s="361"/>
      <c r="U101" s="28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89"/>
      <c r="W101" s="289"/>
      <c r="X101" s="289"/>
      <c r="Y101" s="182" t="str">
        <f>IF(E101="","",IF((VLOOKUP(E101,classifications!C:K,9,FALSE))="Sparse","S",""))</f>
        <v/>
      </c>
      <c r="AA101" s="290"/>
      <c r="AB101" s="291"/>
      <c r="AC101" s="291"/>
      <c r="AD101" s="292"/>
      <c r="AE101" s="292"/>
      <c r="AF101" s="292"/>
      <c r="AG101" s="292"/>
      <c r="AH101" s="292"/>
      <c r="AI101" s="292"/>
      <c r="AJ101" s="292"/>
      <c r="AK101" s="292"/>
      <c r="AL101" s="292"/>
      <c r="AM101" s="292"/>
      <c r="AN101" s="288"/>
      <c r="AO101" s="288"/>
      <c r="AP101" s="288"/>
      <c r="AQ101" s="288"/>
      <c r="AR101" s="182"/>
      <c r="AV101" s="85"/>
    </row>
    <row r="102" spans="2:48" ht="12" customHeight="1">
      <c r="B102" s="290" t="str">
        <f>IF('Filtered Data'!$D$1="MD","",IF('Filtered Data'!$D$1="SC","",IF('Filtered Data'!$D$1="UA",'Filtered Data'!AS21,'Filtered Data'!AL21)))</f>
        <v/>
      </c>
      <c r="C102" s="291"/>
      <c r="D102" s="291"/>
      <c r="E102" s="361" t="str">
        <f>IF(B102="","",IF('Filtered Data'!$D$1="UA",VLOOKUP(B102,'Filtered Data'!AS:AU,2,FALSE),VLOOKUP(B102,'Filtered Data'!AL:AN,2,FALSE)))</f>
        <v/>
      </c>
      <c r="F102" s="361"/>
      <c r="G102" s="361"/>
      <c r="H102" s="361"/>
      <c r="I102" s="361"/>
      <c r="J102" s="361"/>
      <c r="K102" s="361"/>
      <c r="L102" s="361"/>
      <c r="M102" s="361"/>
      <c r="N102" s="361"/>
      <c r="O102" s="361"/>
      <c r="P102" s="361"/>
      <c r="Q102" s="361"/>
      <c r="R102" s="361"/>
      <c r="S102" s="361"/>
      <c r="T102" s="361"/>
      <c r="U102" s="28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89"/>
      <c r="W102" s="289"/>
      <c r="X102" s="289"/>
      <c r="Y102" s="182" t="str">
        <f>IF(E102="","",IF((VLOOKUP(E102,classifications!C:K,9,FALSE))="Sparse","S",""))</f>
        <v/>
      </c>
      <c r="AA102" s="290"/>
      <c r="AB102" s="291"/>
      <c r="AC102" s="291"/>
      <c r="AD102" s="292"/>
      <c r="AE102" s="292"/>
      <c r="AF102" s="292"/>
      <c r="AG102" s="292"/>
      <c r="AH102" s="292"/>
      <c r="AI102" s="292"/>
      <c r="AJ102" s="292"/>
      <c r="AK102" s="292"/>
      <c r="AL102" s="292"/>
      <c r="AM102" s="292"/>
      <c r="AN102" s="288"/>
      <c r="AO102" s="288"/>
      <c r="AP102" s="288"/>
      <c r="AQ102" s="288"/>
      <c r="AR102" s="182"/>
      <c r="AV102" s="85"/>
    </row>
    <row r="103" spans="2:48" ht="12" customHeight="1">
      <c r="B103" s="290" t="str">
        <f>IF('Filtered Data'!$D$1="MD","",IF('Filtered Data'!$D$1="SC","",IF('Filtered Data'!$D$1="UA",'Filtered Data'!AS22,'Filtered Data'!AL22)))</f>
        <v/>
      </c>
      <c r="C103" s="291"/>
      <c r="D103" s="291"/>
      <c r="E103" s="361" t="str">
        <f>IF(B103="","",IF('Filtered Data'!$D$1="UA",VLOOKUP(B103,'Filtered Data'!AS:AU,2,FALSE),VLOOKUP(B103,'Filtered Data'!AL:AN,2,FALSE)))</f>
        <v/>
      </c>
      <c r="F103" s="361"/>
      <c r="G103" s="361"/>
      <c r="H103" s="361"/>
      <c r="I103" s="361"/>
      <c r="J103" s="361"/>
      <c r="K103" s="361"/>
      <c r="L103" s="361"/>
      <c r="M103" s="361"/>
      <c r="N103" s="361"/>
      <c r="O103" s="361"/>
      <c r="P103" s="361"/>
      <c r="Q103" s="361"/>
      <c r="R103" s="361"/>
      <c r="S103" s="361"/>
      <c r="T103" s="361"/>
      <c r="U103" s="28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9"/>
      <c r="W103" s="289"/>
      <c r="X103" s="289"/>
      <c r="Y103" s="182" t="str">
        <f>IF(E103="","",IF((VLOOKUP(E103,classifications!C:K,9,FALSE))="Sparse","S",""))</f>
        <v/>
      </c>
      <c r="AA103" s="290"/>
      <c r="AB103" s="291"/>
      <c r="AC103" s="291"/>
      <c r="AD103" s="292"/>
      <c r="AE103" s="292"/>
      <c r="AF103" s="292"/>
      <c r="AG103" s="292"/>
      <c r="AH103" s="292"/>
      <c r="AI103" s="292"/>
      <c r="AJ103" s="292"/>
      <c r="AK103" s="292"/>
      <c r="AL103" s="292"/>
      <c r="AM103" s="292"/>
      <c r="AN103" s="288"/>
      <c r="AO103" s="288"/>
      <c r="AP103" s="288"/>
      <c r="AQ103" s="288"/>
      <c r="AR103" s="182"/>
      <c r="AV103" s="85"/>
    </row>
    <row r="104" spans="2:48" ht="12" customHeight="1">
      <c r="B104" s="290" t="str">
        <f>IF('Filtered Data'!$D$1="MD","",IF('Filtered Data'!$D$1="SC","",IF('Filtered Data'!$D$1="UA",'Filtered Data'!AS23,'Filtered Data'!AL23)))</f>
        <v/>
      </c>
      <c r="C104" s="291"/>
      <c r="D104" s="291"/>
      <c r="E104" s="361" t="str">
        <f>IF(B104="","",IF('Filtered Data'!$D$1="UA",VLOOKUP(B104,'Filtered Data'!AS:AU,2,FALSE),VLOOKUP(B104,'Filtered Data'!AL:AN,2,FALSE)))</f>
        <v/>
      </c>
      <c r="F104" s="361"/>
      <c r="G104" s="361"/>
      <c r="H104" s="361"/>
      <c r="I104" s="361"/>
      <c r="J104" s="361"/>
      <c r="K104" s="361"/>
      <c r="L104" s="361"/>
      <c r="M104" s="361"/>
      <c r="N104" s="361"/>
      <c r="O104" s="361"/>
      <c r="P104" s="361"/>
      <c r="Q104" s="361"/>
      <c r="R104" s="361"/>
      <c r="S104" s="361"/>
      <c r="T104" s="361"/>
      <c r="U104" s="28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9"/>
      <c r="W104" s="289"/>
      <c r="X104" s="289"/>
      <c r="Y104" s="182" t="str">
        <f>IF(E104="","",IF((VLOOKUP(E104,classifications!C:K,9,FALSE))="Sparse","S",""))</f>
        <v/>
      </c>
      <c r="AA104" s="290"/>
      <c r="AB104" s="291"/>
      <c r="AC104" s="291"/>
      <c r="AD104" s="292"/>
      <c r="AE104" s="292"/>
      <c r="AF104" s="292"/>
      <c r="AG104" s="292"/>
      <c r="AH104" s="292"/>
      <c r="AI104" s="292"/>
      <c r="AJ104" s="292"/>
      <c r="AK104" s="292"/>
      <c r="AL104" s="292"/>
      <c r="AM104" s="292"/>
      <c r="AN104" s="288"/>
      <c r="AO104" s="288"/>
      <c r="AP104" s="288"/>
      <c r="AQ104" s="288"/>
      <c r="AR104" s="182"/>
      <c r="AV104" s="85"/>
    </row>
    <row r="105" spans="2:48" ht="12" customHeight="1">
      <c r="B105" s="290" t="str">
        <f>IF('Filtered Data'!$D$1="MD","",IF('Filtered Data'!$D$1="SC","",IF('Filtered Data'!$D$1="UA",'Filtered Data'!AS24,'Filtered Data'!AL24)))</f>
        <v/>
      </c>
      <c r="C105" s="291"/>
      <c r="D105" s="291"/>
      <c r="E105" s="361" t="str">
        <f>IF(B105="","",IF('Filtered Data'!$D$1="UA",VLOOKUP(B105,'Filtered Data'!AS:AU,2,FALSE),VLOOKUP(B105,'Filtered Data'!AL:AN,2,FALSE)))</f>
        <v/>
      </c>
      <c r="F105" s="361"/>
      <c r="G105" s="361"/>
      <c r="H105" s="361"/>
      <c r="I105" s="361"/>
      <c r="J105" s="361"/>
      <c r="K105" s="361"/>
      <c r="L105" s="361"/>
      <c r="M105" s="361"/>
      <c r="N105" s="361"/>
      <c r="O105" s="361"/>
      <c r="P105" s="361"/>
      <c r="Q105" s="361"/>
      <c r="R105" s="361"/>
      <c r="S105" s="361"/>
      <c r="T105" s="361"/>
      <c r="U105" s="28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9"/>
      <c r="W105" s="289"/>
      <c r="X105" s="289"/>
      <c r="Y105" s="182" t="str">
        <f>IF(E105="","",IF((VLOOKUP(E105,classifications!C:K,9,FALSE))="Sparse","S",""))</f>
        <v/>
      </c>
      <c r="AA105" s="290"/>
      <c r="AB105" s="291"/>
      <c r="AC105" s="291"/>
      <c r="AD105" s="292"/>
      <c r="AE105" s="292"/>
      <c r="AF105" s="292"/>
      <c r="AG105" s="292"/>
      <c r="AH105" s="292"/>
      <c r="AI105" s="292"/>
      <c r="AJ105" s="292"/>
      <c r="AK105" s="292"/>
      <c r="AL105" s="292"/>
      <c r="AM105" s="292"/>
      <c r="AN105" s="288"/>
      <c r="AO105" s="288"/>
      <c r="AP105" s="288"/>
      <c r="AQ105" s="288"/>
      <c r="AR105" s="182"/>
      <c r="AV105" s="85"/>
    </row>
    <row r="106" spans="2:48" ht="12" customHeight="1">
      <c r="B106" s="290" t="str">
        <f>IF('Filtered Data'!$D$1="MD","",IF('Filtered Data'!$D$1="SC","",IF('Filtered Data'!$D$1="UA",'Filtered Data'!AS25,'Filtered Data'!AL25)))</f>
        <v/>
      </c>
      <c r="C106" s="291"/>
      <c r="D106" s="291"/>
      <c r="E106" s="361" t="str">
        <f>IF(B106="","",IF('Filtered Data'!$D$1="UA",VLOOKUP(B106,'Filtered Data'!AS:AU,2,FALSE),VLOOKUP(B106,'Filtered Data'!AL:AN,2,FALSE)))</f>
        <v/>
      </c>
      <c r="F106" s="361"/>
      <c r="G106" s="361"/>
      <c r="H106" s="361"/>
      <c r="I106" s="361"/>
      <c r="J106" s="361"/>
      <c r="K106" s="361"/>
      <c r="L106" s="361"/>
      <c r="M106" s="361"/>
      <c r="N106" s="361"/>
      <c r="O106" s="361"/>
      <c r="P106" s="361"/>
      <c r="Q106" s="361"/>
      <c r="R106" s="361"/>
      <c r="S106" s="361"/>
      <c r="T106" s="361"/>
      <c r="U106" s="28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9"/>
      <c r="W106" s="289"/>
      <c r="X106" s="289"/>
      <c r="Y106" s="182" t="str">
        <f>IF(E106="","",IF((VLOOKUP(E106,classifications!C:K,9,FALSE))="Sparse","S",""))</f>
        <v/>
      </c>
      <c r="AA106" s="290"/>
      <c r="AB106" s="291"/>
      <c r="AC106" s="291"/>
      <c r="AD106" s="292"/>
      <c r="AE106" s="292"/>
      <c r="AF106" s="292"/>
      <c r="AG106" s="292"/>
      <c r="AH106" s="292"/>
      <c r="AI106" s="292"/>
      <c r="AJ106" s="292"/>
      <c r="AK106" s="292"/>
      <c r="AL106" s="292"/>
      <c r="AM106" s="292"/>
      <c r="AN106" s="288"/>
      <c r="AO106" s="288"/>
      <c r="AP106" s="288"/>
      <c r="AQ106" s="288"/>
      <c r="AR106" s="182"/>
      <c r="AV106" s="85"/>
    </row>
    <row r="107" spans="2:48" ht="12" customHeight="1">
      <c r="B107" s="290" t="str">
        <f>IF('Filtered Data'!$D$1="MD","",IF('Filtered Data'!$D$1="SC","",IF('Filtered Data'!$D$1="UA",'Filtered Data'!AS26,'Filtered Data'!AL26)))</f>
        <v/>
      </c>
      <c r="C107" s="291"/>
      <c r="D107" s="291"/>
      <c r="E107" s="361" t="str">
        <f>IF(B107="","",IF('Filtered Data'!$D$1="UA",VLOOKUP(B107,'Filtered Data'!AS:AU,2,FALSE),VLOOKUP(B107,'Filtered Data'!AL:AN,2,FALSE)))</f>
        <v/>
      </c>
      <c r="F107" s="361"/>
      <c r="G107" s="361"/>
      <c r="H107" s="361"/>
      <c r="I107" s="361"/>
      <c r="J107" s="361"/>
      <c r="K107" s="361"/>
      <c r="L107" s="361"/>
      <c r="M107" s="361"/>
      <c r="N107" s="361"/>
      <c r="O107" s="361"/>
      <c r="P107" s="361"/>
      <c r="Q107" s="361"/>
      <c r="R107" s="361"/>
      <c r="S107" s="361"/>
      <c r="T107" s="361"/>
      <c r="U107" s="28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9"/>
      <c r="W107" s="289"/>
      <c r="X107" s="289"/>
      <c r="Y107" s="182" t="str">
        <f>IF(E107="","",IF((VLOOKUP(E107,classifications!C:K,9,FALSE))="Sparse","S",""))</f>
        <v/>
      </c>
      <c r="AA107" s="290"/>
      <c r="AB107" s="291"/>
      <c r="AC107" s="291"/>
      <c r="AD107" s="292"/>
      <c r="AE107" s="292"/>
      <c r="AF107" s="292"/>
      <c r="AG107" s="292"/>
      <c r="AH107" s="292"/>
      <c r="AI107" s="292"/>
      <c r="AJ107" s="292"/>
      <c r="AK107" s="292"/>
      <c r="AL107" s="292"/>
      <c r="AM107" s="292"/>
      <c r="AN107" s="288"/>
      <c r="AO107" s="288"/>
      <c r="AP107" s="288"/>
      <c r="AQ107" s="288"/>
      <c r="AR107" s="182"/>
      <c r="AV107" s="85"/>
    </row>
    <row r="108" spans="2:48" ht="12" customHeight="1">
      <c r="B108" s="291"/>
      <c r="C108" s="291"/>
      <c r="D108" s="291"/>
      <c r="E108" s="293" t="str">
        <f>IF('Filtered Data'!D1="MD","",IF('Filtered Data'!D1="SC","","Average"))</f>
        <v>Average</v>
      </c>
      <c r="F108" s="293"/>
      <c r="G108" s="293"/>
      <c r="H108" s="293"/>
      <c r="I108" s="293"/>
      <c r="J108" s="293"/>
      <c r="K108" s="293"/>
      <c r="L108" s="293"/>
      <c r="M108" s="293"/>
      <c r="N108" s="293"/>
      <c r="O108" s="281"/>
      <c r="P108" s="281"/>
      <c r="Q108" s="281"/>
      <c r="R108" s="281"/>
      <c r="S108" s="281"/>
      <c r="T108" s="281"/>
      <c r="U108" s="358">
        <f>IF(ISERROR(AVERAGE(U92:U107)),"",AVERAGE(U92:U107))</f>
        <v>532.93333333333328</v>
      </c>
      <c r="V108" s="358"/>
      <c r="W108" s="358"/>
      <c r="X108" s="358"/>
      <c r="Y108" s="182"/>
      <c r="AA108" s="291"/>
      <c r="AB108" s="291"/>
      <c r="AC108" s="291"/>
      <c r="AD108" s="24"/>
      <c r="AE108" s="24"/>
      <c r="AF108" s="24"/>
      <c r="AG108" s="24"/>
      <c r="AH108" s="24"/>
      <c r="AI108" s="24"/>
      <c r="AJ108" s="24"/>
      <c r="AK108" s="24"/>
      <c r="AL108" s="24"/>
      <c r="AM108" s="27"/>
      <c r="AN108" s="359"/>
      <c r="AO108" s="359"/>
      <c r="AP108" s="359"/>
      <c r="AQ108" s="359"/>
      <c r="AV108" s="85"/>
    </row>
    <row r="109" spans="2:48" ht="12" customHeight="1">
      <c r="W109" s="22">
        <f>COUNT(AA92:AB107)</f>
        <v>0</v>
      </c>
    </row>
    <row r="110" spans="2:48" ht="19.5" customHeight="1">
      <c r="B110" s="354" t="str">
        <f>B3</f>
        <v>Waste Management Indicators</v>
      </c>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row>
    <row r="111" spans="2:48" ht="12" customHeight="1"/>
    <row r="112" spans="2:48" ht="12" customHeight="1">
      <c r="B112" s="293" t="s">
        <v>371</v>
      </c>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row>
    <row r="113" spans="2:40" ht="12" customHeight="1"/>
    <row r="114" spans="2:40" ht="12" customHeight="1">
      <c r="B114" s="294" t="str">
        <f>W6&amp;" - "&amp;W12</f>
        <v>Residual household waste per household (kg/household) (Ex NI191) - 2020-21</v>
      </c>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6"/>
    </row>
    <row r="115" spans="2:40" ht="12"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286">
        <f>IF('Filtered Data'!H8="..",L35,L35*100)</f>
        <v>560.1</v>
      </c>
      <c r="H118" s="286"/>
      <c r="I118" s="286"/>
      <c r="J118" s="286"/>
      <c r="K118" s="286"/>
      <c r="L118" s="6"/>
      <c r="M118" s="287">
        <f>K$48</f>
        <v>437.55</v>
      </c>
      <c r="N118" s="287"/>
      <c r="O118" s="287">
        <f>M$48</f>
        <v>490.9</v>
      </c>
      <c r="P118" s="287"/>
      <c r="Q118" s="287">
        <f>O$48</f>
        <v>538.54999999999995</v>
      </c>
      <c r="R118" s="287"/>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286">
        <f>IF('Filtered Data'!H8="%%",(AVERAGEIF('Filtered Data'!AA$10:AA$492,$F119,'Filtered Data'!M$10:M$492))*100,(AVERAGEIF('Filtered Data'!AA$10:AA$492,$F119,'Filtered Data'!M$10:M$492)))</f>
        <v>472.83043478260873</v>
      </c>
      <c r="H119" s="286"/>
      <c r="I119" s="286"/>
      <c r="J119" s="286"/>
      <c r="K119" s="286"/>
      <c r="L119" s="6"/>
      <c r="M119" s="287">
        <f>K$48</f>
        <v>437.55</v>
      </c>
      <c r="N119" s="287"/>
      <c r="O119" s="287">
        <f>M$48</f>
        <v>490.9</v>
      </c>
      <c r="P119" s="287"/>
      <c r="Q119" s="287">
        <f>O$48</f>
        <v>538.54999999999995</v>
      </c>
      <c r="R119" s="287"/>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286">
        <f>IF('Filtered Data'!H8="%%",(AVERAGEIF('Filtered Data'!AA$10:AA$492,$F120,'Filtered Data'!M$10:M$492))*100,(AVERAGEIF('Filtered Data'!AA$10:AA$492,$F120,'Filtered Data'!M$10:M$492)))</f>
        <v>497.78</v>
      </c>
      <c r="H120" s="286"/>
      <c r="I120" s="286"/>
      <c r="J120" s="286"/>
      <c r="K120" s="286"/>
      <c r="L120" s="6"/>
      <c r="M120" s="287">
        <f>K$48</f>
        <v>437.55</v>
      </c>
      <c r="N120" s="287"/>
      <c r="O120" s="287">
        <f>M$48</f>
        <v>490.9</v>
      </c>
      <c r="P120" s="287"/>
      <c r="Q120" s="287">
        <f>O$48</f>
        <v>538.54999999999995</v>
      </c>
      <c r="R120" s="287"/>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286">
        <f>IF('Filtered Data'!H8="%%",(AVERAGEIF('Filtered Data'!AA$10:AA$492,$F121,'Filtered Data'!M$10:M$492))*100,(AVERAGEIF('Filtered Data'!AA$10:AA$492,$F121,'Filtered Data'!M$10:M$492)))</f>
        <v>487.25250000000005</v>
      </c>
      <c r="H121" s="286"/>
      <c r="I121" s="286"/>
      <c r="J121" s="286"/>
      <c r="K121" s="286"/>
      <c r="L121" s="6"/>
      <c r="M121" s="287">
        <f>K$48</f>
        <v>437.55</v>
      </c>
      <c r="N121" s="287"/>
      <c r="O121" s="287">
        <f>M$48</f>
        <v>490.9</v>
      </c>
      <c r="P121" s="287"/>
      <c r="Q121" s="287">
        <f>O$48</f>
        <v>538.54999999999995</v>
      </c>
      <c r="R121" s="287"/>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86"/>
      <c r="H122" s="286"/>
      <c r="I122" s="286"/>
      <c r="J122" s="286"/>
      <c r="K122" s="286"/>
      <c r="L122" s="6"/>
      <c r="M122" s="287"/>
      <c r="N122" s="287"/>
      <c r="O122" s="287"/>
      <c r="P122" s="287"/>
      <c r="Q122" s="287"/>
      <c r="R122" s="287"/>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86"/>
      <c r="H123" s="286"/>
      <c r="I123" s="286"/>
      <c r="J123" s="286"/>
      <c r="K123" s="286"/>
      <c r="L123" s="6"/>
      <c r="M123" s="287"/>
      <c r="N123" s="287"/>
      <c r="O123" s="287"/>
      <c r="P123" s="287"/>
      <c r="Q123" s="287"/>
      <c r="R123" s="287"/>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86"/>
      <c r="H124" s="286"/>
      <c r="I124" s="286"/>
      <c r="J124" s="286"/>
      <c r="K124" s="286"/>
      <c r="L124" s="6"/>
      <c r="M124" s="287"/>
      <c r="N124" s="287"/>
      <c r="O124" s="287"/>
      <c r="P124" s="287"/>
      <c r="Q124" s="287"/>
      <c r="R124" s="287"/>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algorithmName="SHA-512" hashValue="4aso4yD040rULG4UCxTIICgtFOEROSaW3JXfirweCmv4KcYCzsDM5HoYzw55/4XnNDJ0G2luEfFaApHO24J2gw==" saltValue="qc7Ik4JEXUMhBYKLbbmyDw==" spinCount="100000" sheet="1" selectLockedCells="1"/>
  <protectedRanges>
    <protectedRange sqref="W12" name="Range3"/>
    <protectedRange sqref="W6" name="Range2"/>
    <protectedRange sqref="J5:S6" name="Range1"/>
  </protectedRanges>
  <mergeCells count="299">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Q41:R41"/>
    <mergeCell ref="V41:W41"/>
    <mergeCell ref="L38:O38"/>
    <mergeCell ref="V40:W40"/>
    <mergeCell ref="U70:X70"/>
    <mergeCell ref="U69:X69"/>
    <mergeCell ref="K52:L52"/>
    <mergeCell ref="E65:T65"/>
    <mergeCell ref="E69:T69"/>
    <mergeCell ref="E70:T70"/>
    <mergeCell ref="U65:X65"/>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B76:D76"/>
    <mergeCell ref="B74:D74"/>
    <mergeCell ref="B75:D75"/>
    <mergeCell ref="E81:T81"/>
    <mergeCell ref="E91:N91"/>
    <mergeCell ref="E84:T84"/>
    <mergeCell ref="U74:X74"/>
    <mergeCell ref="E78:T78"/>
    <mergeCell ref="U79:X79"/>
    <mergeCell ref="U75:X75"/>
    <mergeCell ref="E74:T7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380</v>
      </c>
      <c r="E1" s="47"/>
      <c r="F1" s="47"/>
      <c r="G1" s="47"/>
      <c r="H1" s="107"/>
      <c r="I1" s="108"/>
      <c r="K1" s="87"/>
      <c r="L1" s="48" t="s">
        <v>358</v>
      </c>
      <c r="M1" s="124" t="s">
        <v>382</v>
      </c>
      <c r="N1" s="124" t="s">
        <v>382</v>
      </c>
      <c r="O1" s="124"/>
      <c r="P1" s="124"/>
      <c r="Q1" s="124"/>
      <c r="R1" s="124"/>
      <c r="T1" s="367" t="s">
        <v>823</v>
      </c>
      <c r="U1" s="368"/>
      <c r="V1" s="368"/>
      <c r="W1" s="369"/>
      <c r="X1" s="87"/>
      <c r="AA1" s="367" t="s">
        <v>822</v>
      </c>
      <c r="AB1" s="368"/>
      <c r="AC1" s="368"/>
      <c r="AD1" s="369"/>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67"/>
      <c r="U2" s="368"/>
      <c r="V2" s="368"/>
      <c r="W2" s="369"/>
      <c r="X2" s="365"/>
      <c r="Y2" s="366"/>
      <c r="Z2" s="366"/>
      <c r="AA2" s="367"/>
      <c r="AB2" s="368"/>
      <c r="AC2" s="368"/>
      <c r="AD2" s="369"/>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Allerdale</v>
      </c>
      <c r="F3" s="108" t="str">
        <f>VLOOKUP(D3,classifications!C:G,4,FALSE)</f>
        <v>SD</v>
      </c>
      <c r="G3" s="48" t="str">
        <f>VLOOKUP(D3,classifications!C:E,3,FALSE)</f>
        <v>North West</v>
      </c>
      <c r="H3" s="118" t="str">
        <f>VLOOKUP(D3,classifications!C:H,6,FALSE)</f>
        <v xml:space="preserve">Mainly Rural (rural including hub towns &gt;=80%) </v>
      </c>
      <c r="I3" s="48" t="str">
        <f>VLOOKUP(D3,classifications!C:J,8,FALSE)</f>
        <v>Cumbria</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Residual household waste per household (kg/household) (Ex NI191)</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269.39999999999998</v>
      </c>
      <c r="Q7" s="145">
        <f>IF(I8="A",MAX(N11:N355),MIN(N11:N355))</f>
        <v>678.2</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A</v>
      </c>
      <c r="K8" s="87"/>
      <c r="M8" s="147"/>
      <c r="N8" s="147"/>
      <c r="O8" s="147"/>
      <c r="P8" s="110" t="str">
        <f>D3</f>
        <v>Allerdale</v>
      </c>
      <c r="Q8" s="146">
        <f>VLOOKUP(D3,L11:N355,3,FALSE)</f>
        <v>560.1</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IF($H$8="%.",(AVERAGE(M11:M355))/100,(AVERAGE(M11:M355)))</f>
        <v>485.81005586592187</v>
      </c>
      <c r="N9" s="123"/>
      <c r="O9" s="126" t="s">
        <v>340</v>
      </c>
      <c r="P9" s="126" t="s">
        <v>351</v>
      </c>
      <c r="Q9" s="126" t="s">
        <v>352</v>
      </c>
      <c r="R9" s="128" t="s">
        <v>400</v>
      </c>
      <c r="S9" s="53"/>
      <c r="T9" s="230" t="s">
        <v>818</v>
      </c>
      <c r="U9" s="231">
        <f>IF($H$8="%.",(AVERAGE(U11:U355))/100,(AVERAGE(U11:U355)))</f>
        <v>466.84098360655742</v>
      </c>
      <c r="V9" s="232"/>
      <c r="W9" s="232"/>
      <c r="X9" s="121" t="str">
        <f>"Lower Level Ranking for Authorites in "&amp;H3&amp;" &amp; are a "&amp;F3</f>
        <v>Lower Level Ranking for Authorites in Mainly Rural (rural including hub towns &gt;=80%)  &amp; are a SD</v>
      </c>
      <c r="Y9" s="123">
        <f>IF($H$8="%.",(AVERAGE(Y11:Y355))/100,(AVERAGE(Y11:Y355)))</f>
        <v>464.80769230769232</v>
      </c>
      <c r="Z9" s="122"/>
      <c r="AA9" s="240" t="s">
        <v>379</v>
      </c>
      <c r="AB9" s="231">
        <f>IF($H$8="%.",(AVERAGE(AB11:AB355))/100,(AVERAGE(AB11:AB355)))</f>
        <v>472.83043478260873</v>
      </c>
      <c r="AC9" s="241"/>
      <c r="AD9" s="241"/>
      <c r="AE9" s="54" t="s">
        <v>409</v>
      </c>
      <c r="AG9" s="123" t="e">
        <f>IF($H$8="%.",(AVERAGE(AG11:AG355))/100,(AVERAGE(AG11:AG355)))</f>
        <v>#N/A</v>
      </c>
      <c r="AI9" s="121" t="str">
        <f>"County Ranking &amp; Top Authorites in "&amp;I3&amp;" &amp; are a "&amp;F3</f>
        <v>County Ranking &amp; Top Authorites in Cumbria &amp; are a SD</v>
      </c>
      <c r="AJ9" s="123">
        <f>IF($H$8="%.",(AVERAGE(AJ11:AJ355))/100,(AVERAGE(AJ11:AJ355)))</f>
        <v>532.93333333333328</v>
      </c>
      <c r="AK9" s="122"/>
      <c r="AL9" s="70"/>
      <c r="AM9" s="31"/>
      <c r="AN9" s="31"/>
      <c r="AP9" s="121" t="str">
        <f>"Regional Ranking in for "&amp;F3</f>
        <v>Regional Ranking in for SD</v>
      </c>
      <c r="AQ9" s="123">
        <f>IF($H$8="%.",(AVERAGE(AQ11:AQ355))/100,(AVERAGE(AQ11:AQ355)))</f>
        <v>527.54444444444448</v>
      </c>
      <c r="AR9" s="122"/>
      <c r="AS9" s="122"/>
      <c r="AT9" s="122"/>
      <c r="AU9" s="122"/>
      <c r="AV9" s="49"/>
      <c r="AW9" s="115"/>
      <c r="AX9" s="178" t="str">
        <f>Profile!$W$6</f>
        <v>Residual household waste per household (kg/household) (Ex NI191)</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437.55</v>
      </c>
      <c r="P10" s="130">
        <f>QUARTILE(N:N,2)</f>
        <v>490.9</v>
      </c>
      <c r="Q10" s="130">
        <f>IF(I8="A",QUARTILE(N:N,3),QUARTILE(N:N,1))</f>
        <v>538.54999999999995</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 t="shared" ref="F11:F74" si="0">HLOOKUP($D$6,AX$10:ZX$355,ROW()-9,FALSE)</f>
        <v>425.8</v>
      </c>
      <c r="G11" s="105"/>
      <c r="H11" s="60">
        <f t="shared" ref="H11:H74" si="1">IF(D11=$D$1,HLOOKUP($D$6,$AX$10:$ZZ$355,ROW()-9,FALSE),"")</f>
        <v>425.8</v>
      </c>
      <c r="I11" s="112">
        <f>IF(H11="","",IF($I$8="A",(RANK(H11,H$11:H$355,1)+COUNTIF(H$11:H11,H11)-1),(RANK(H11,H$11:H$355)+COUNTIF(H$11:H11,H11)-1)))</f>
        <v>35</v>
      </c>
      <c r="J11" s="58"/>
      <c r="K11" s="51">
        <v>1</v>
      </c>
      <c r="L11" s="59" t="str">
        <f t="shared" ref="L11:L74" si="2">IF(K11="","",INDEX(C$11:C$355,MATCH(K11,I$11:I$355,0)))</f>
        <v>East Devon</v>
      </c>
      <c r="M11" s="153">
        <f t="shared" ref="M11:M74" si="3">IF(L11="","",IF(VLOOKUP(L11,C:D,2,FALSE)=$F$3,VLOOKUP(L11,C:H,6,FALSE),""))</f>
        <v>269.39999999999998</v>
      </c>
      <c r="N11" s="148">
        <f>IF(L11="","",IF($H$8="%%",M11*100,M11))</f>
        <v>269.39999999999998</v>
      </c>
      <c r="O11" s="131">
        <f>IF(I$8="A",IF(N11&gt;=$P$7,IF(N11&lt;=$O$10,N11,""),""),IF(N11&lt;=$P$7,IF(N11&gt;=$O$10,N11,""),""))</f>
        <v>269.39999999999998</v>
      </c>
      <c r="P11" s="131" t="str">
        <f>IF(I$8="A",IF(N11&gt;$O$10,IF(N11&lt;=$P$10,N11,""),""),IF(N11&lt;$O$10,IF(N11&gt;=$P$10,N11,""),""))</f>
        <v/>
      </c>
      <c r="Q11" s="131" t="str">
        <f>IF(I$8="A",IF(N11&gt;$P$10,IF(N11&lt;=$Q$10,N11,""),""),IF(N11&lt;$P$10,IF(N11&gt;=$Q$10,N11,""),""))</f>
        <v/>
      </c>
      <c r="R11" s="127" t="str">
        <f>IF(I$8="A",IF(N11&gt;$Q$10,N11,""),IF(N11&lt;$Q$10,N11,""))</f>
        <v/>
      </c>
      <c r="S11" s="60" t="str">
        <f>IF(L11=D$3,"u","")</f>
        <v/>
      </c>
      <c r="T11" s="228" t="str">
        <f>IF(L11="","",VLOOKUP(L11,classifications!C:K,9,FALSE))</f>
        <v>Sparse</v>
      </c>
      <c r="U11" s="235">
        <f>IF(T11="Sparse",M11,"")</f>
        <v>269.39999999999998</v>
      </c>
      <c r="V11" s="236">
        <f>IF(U11="","",IF($I$8="A",(RANK(U11,U$11:U$355)+COUNTIF(U$11:U11,U11)-1),(RANK(U11,U$11:U$355,1)+COUNTIF(U$11:U11,U11)-1)))</f>
        <v>61</v>
      </c>
      <c r="W11" s="237"/>
      <c r="X11" s="61" t="str">
        <f>IF(L11="","",VLOOKUP($L11,classifications!$C:$J,6,FALSE))</f>
        <v xml:space="preserve">Largely Rural (rural including hub towns 50-79%) </v>
      </c>
      <c r="Y11" s="49" t="str">
        <f t="shared" ref="Y11:Y74" si="4">IF($D$1="UA",IF(X11="Largely Rural (rural including hub towns 50-79%) ",M11,IF(X11="Mainly Rural (rural including hub towns &gt;=80%) ",M11,IF(X11="Urban with Significant Rural (rural including hub towns 26-49%)",M11,""))),IF($D$1="SD",IF(X11=$H$3,M11,"")))</f>
        <v/>
      </c>
      <c r="Z11" s="57" t="str">
        <f>IF(Y11="","",IF(I$8="A",(RANK(Y11,Y$11:Y$355,1)+COUNTIF(Y$11:Y11,Y11)-1),(RANK(Y11,Y$11:Y$355)+COUNTIF(Y$11:Y11,Y11)-1)))</f>
        <v/>
      </c>
      <c r="AA11" s="242" t="str">
        <f>IF(L11="","",VLOOKUP($L11,classifications!C:I,7,FALSE))</f>
        <v>Predominantly Rural</v>
      </c>
      <c r="AB11" s="236">
        <f>IF(AA11=$J$3,M11,"")</f>
        <v>269.39999999999998</v>
      </c>
      <c r="AC11" s="236">
        <f>IF(AB11="","",IF($I$8="A",(RANK(AB11,AB$11:AB$355)+COUNTIF(AB$11:AB11,AB11)-1),(RANK(AB11,AB$11:AB$355,1)+COUNTIF(AB$11:AB11,AB11)-1)))</f>
        <v>69</v>
      </c>
      <c r="AD11" s="236"/>
      <c r="AE11" s="71" t="e">
        <f>IF(I$8="A",(RANK(AG11,AG$11:AG$355,1)+COUNTIF(AG$11:AG11,AG11)-1),(RANK(AG11,AG$11:AG$355)+COUNTIF(AG$11:AG11,AG11)-1))</f>
        <v>#N/A</v>
      </c>
      <c r="AF11" s="69" t="str">
        <f>'Filtered Data'!D3</f>
        <v>Allerdale</v>
      </c>
      <c r="AG11" s="142">
        <f>VLOOKUP(Profile!$J$5,$C$11:$H$355,4,FALSE)</f>
        <v>560.1</v>
      </c>
      <c r="AH11" s="72" t="e">
        <f>AE11</f>
        <v>#N/A</v>
      </c>
      <c r="AI11" s="61" t="str">
        <f>IF(L11="","",VLOOKUP($L11,classifications!$C:$J,8,FALSE))</f>
        <v>Devon</v>
      </c>
      <c r="AJ11" s="62" t="str">
        <f t="shared" ref="AJ11:AJ74" si="5">IF(AI11=$I$3,M11,"")</f>
        <v/>
      </c>
      <c r="AK11" s="57" t="str">
        <f>IF(AJ11="","",IF(I$8="A",(RANK(AJ11,AJ$11:AJ$355,1)+COUNTIF(AJ$11:AJ11,AJ11)-1),(RANK(AJ11,AJ$11:AJ$355)+COUNTIF(AJ$11:AJ11,AJ11)-1)))</f>
        <v/>
      </c>
      <c r="AL11" s="57">
        <v>1</v>
      </c>
      <c r="AM11" s="31" t="str">
        <f t="shared" ref="AM11:AM74" si="6">IF(ISNA(IF(AL11="","",INDEX(L$11:L$355,MATCH(AL11,AK$11:AK$355,0)))),"",(IF(AL11="","",INDEX(L$11:L$355,MATCH(AL11,AK$11:AK$355,0)))))</f>
        <v>Eden</v>
      </c>
      <c r="AN11" s="31">
        <f t="shared" ref="AN11:AN74" si="7">(VLOOKUP(AM11,L:M,2,FALSE))</f>
        <v>449</v>
      </c>
      <c r="AP11" s="61" t="str">
        <f>IF(L11="","",VLOOKUP($L11,classifications!$C:$E,3,FALSE))</f>
        <v>South West</v>
      </c>
      <c r="AQ11" s="62" t="str">
        <f>IF(AP11=$G$3,$M11,"")</f>
        <v/>
      </c>
      <c r="AR11" s="57" t="str">
        <f>IF(AQ11="","",IF(I$8="A",(RANK(AQ11,AQ$11:AQ$355,1)+COUNTIF(AQ$11:AQ11,AQ11)-1),(RANK(AQ11,AQ$11:AQ$355)+COUNTIF(AQ$11:AQ11,AQ11)-1)))</f>
        <v/>
      </c>
      <c r="AS11" s="57">
        <v>1</v>
      </c>
      <c r="AT11" s="57" t="str">
        <f t="shared" ref="AT11:AT74" si="8">IF(AS11="","",INDEX(L$11:L$355,MATCH(AS11,AR$11:AR$355,0)))</f>
        <v>Hyndburn</v>
      </c>
      <c r="AU11" s="62">
        <f t="shared" ref="AU11:AU74" si="9">IF(AT11="","",VLOOKUP(AT11,L:M,2,FALSE))</f>
        <v>439.2</v>
      </c>
      <c r="AX11" s="44">
        <f>HLOOKUP($AX$9&amp;$AX$10,Data!$A$1:$ZZ$2000,(MATCH($C11,Data!$A$1:$A$2000,0)),FALSE)</f>
        <v>425.8</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si="0"/>
        <v>560.1</v>
      </c>
      <c r="G12" s="105"/>
      <c r="H12" s="60">
        <f t="shared" si="1"/>
        <v>560.1</v>
      </c>
      <c r="I12" s="112">
        <f>IF(H12="","",IF($I$8="A",(RANK(H12,H$11:H$355,1)+COUNTIF(H$11:H12,H12)-1),(RANK(H12,H$11:H$355)+COUNTIF(H$11:H12,H12)-1)))</f>
        <v>151</v>
      </c>
      <c r="J12" s="58"/>
      <c r="K12" s="51">
        <f t="shared" ref="K12:K75" si="10">IF(K11="","",IF(K11+1&gt;(COUNT(H$11:H$355)),"",K11+1))</f>
        <v>2</v>
      </c>
      <c r="L12" s="59" t="str">
        <f t="shared" si="2"/>
        <v>Stroud</v>
      </c>
      <c r="M12" s="153">
        <f t="shared" si="3"/>
        <v>299.8</v>
      </c>
      <c r="N12" s="148">
        <f>IF(L12="","",IF($H$8="%%",M12*100,M12))</f>
        <v>299.8</v>
      </c>
      <c r="O12" s="131">
        <f t="shared" ref="O12:O74" si="11">IF(I$8="A",IF(N12&gt;=$P$7,IF(N12&lt;=$O$10,N12,""),""),IF(N12&lt;=$P$7,IF(N12&gt;=$O$10,N12,""),""))</f>
        <v>299.8</v>
      </c>
      <c r="P12" s="131" t="str">
        <f>IF(I$8="A",IF(N12&gt;$O$10,IF(N12&lt;=$P$10,N12,""),""),IF(N12&lt;$O$10,IF(N12&gt;=$P$10,N12,""),""))</f>
        <v/>
      </c>
      <c r="Q12" s="131" t="str">
        <f>IF(I$8="A",IF(N12&gt;$P$10,IF(N12&lt;=$Q$10,N12,""),""),IF(N12&lt;$P$10,IF(N12&gt;=$Q$10,N12,""),""))</f>
        <v/>
      </c>
      <c r="R12" s="127" t="str">
        <f>IF(I$8="A",IF(N12&gt;$Q$10,N12,""),IF(N12&lt;$Q$10,N12,""))</f>
        <v/>
      </c>
      <c r="S12" s="60" t="str">
        <f t="shared" ref="S12:S75" si="12">IF(L12=D$3,"u","")</f>
        <v/>
      </c>
      <c r="T12" s="228" t="str">
        <f>IF(L12="","",VLOOKUP(L12,classifications!C:K,9,FALSE))</f>
        <v>Sparse</v>
      </c>
      <c r="U12" s="235">
        <f t="shared" ref="U12:U42" si="13">IF(T12="Sparse",M12,"")</f>
        <v>299.8</v>
      </c>
      <c r="V12" s="236">
        <f>IF(U12="","",IF($I$8="A",(RANK(U12,U$11:U$355)+COUNTIF(U$11:U12,U12)-1),(RANK(U12,U$11:U$355,1)+COUNTIF(U$11:U12,U12)-1)))</f>
        <v>60</v>
      </c>
      <c r="W12" s="237"/>
      <c r="X12" s="61" t="str">
        <f>IF(L12="","",VLOOKUP($L12,classifications!$C:$J,6,FALSE))</f>
        <v>Urban with Significant Rural (rural including hub towns 26-49%)</v>
      </c>
      <c r="Y12" s="49" t="str">
        <f t="shared" si="4"/>
        <v/>
      </c>
      <c r="Z12" s="57" t="str">
        <f>IF(Y12="","",IF(I$8="A",(RANK(Y12,Y$11:Y$355,1)+COUNTIF(Y$11:Y12,Y12)-1),(RANK(Y12,Y$11:Y$355)+COUNTIF(Y$11:Y12,Y12)-1)))</f>
        <v/>
      </c>
      <c r="AA12" s="242" t="str">
        <f>IF(L12="","",VLOOKUP($L12,classifications!C:I,7,FALSE))</f>
        <v>Significant Rural</v>
      </c>
      <c r="AB12" s="236" t="str">
        <f t="shared" ref="AB12:AB75" si="14">IF(AA12=$J$3,M12,"")</f>
        <v/>
      </c>
      <c r="AC12" s="236" t="str">
        <f>IF(AB12="","",IF($I$8="A",(RANK(AB12,AB$11:AB$355)+COUNTIF(AB$11:AB12,AB12)-1),(RANK(AB12,AB$11:AB$355,1)+COUNTIF(AB$11:AB12,AB12)-1)))</f>
        <v/>
      </c>
      <c r="AD12" s="236"/>
      <c r="AE12" s="71" t="e">
        <f>IF(I$8="A",(RANK(AG12,AG$11:AG$355,1)+COUNTIF(AG$11:AG12,AG12)-1),(RANK(AG12,AG$11:AG$355)+COUNTIF(AG$11:AG12,AG12)-1))</f>
        <v>#N/A</v>
      </c>
      <c r="AF12" s="6" t="str">
        <f>VLOOKUP(Profile!$J$5,Families!$C:$R,2,FALSE)</f>
        <v>Dover</v>
      </c>
      <c r="AG12" s="143">
        <f t="shared" ref="AG12:AG26" si="15">VLOOKUP(AF12,$C$11:$H$355,4,FALSE)</f>
        <v>416.3</v>
      </c>
      <c r="AH12" s="72" t="e">
        <f>AE12</f>
        <v>#N/A</v>
      </c>
      <c r="AI12" s="61" t="str">
        <f>IF(L12="","",VLOOKUP($L12,classifications!$C:$J,8,FALSE))</f>
        <v>Gloucestershire</v>
      </c>
      <c r="AJ12" s="62" t="str">
        <f t="shared" si="5"/>
        <v/>
      </c>
      <c r="AK12" s="57" t="str">
        <f>IF(AJ12="","",IF(I$8="A",(RANK(AJ12,AJ$11:AJ$355,1)+COUNTIF(AJ$11:AJ12,AJ12)-1),(RANK(AJ12,AJ$11:AJ$355)+COUNTIF(AJ$11:AJ12,AJ12)-1)))</f>
        <v/>
      </c>
      <c r="AL12" s="52">
        <f t="shared" ref="AL12:AL75" si="16">IF(AL11="","",IF(AL11+1&gt;(COUNT(AJ$11:AJ$355)),"",AL11+1))</f>
        <v>2</v>
      </c>
      <c r="AM12" s="31" t="str">
        <f t="shared" si="6"/>
        <v>South Lakeland</v>
      </c>
      <c r="AN12" s="31">
        <f t="shared" si="7"/>
        <v>491.5</v>
      </c>
      <c r="AP12" s="61" t="str">
        <f>IF(L12="","",VLOOKUP($L12,classifications!$C:$E,3,FALSE))</f>
        <v>South West</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Eden</v>
      </c>
      <c r="AU12" s="62">
        <f t="shared" si="9"/>
        <v>449</v>
      </c>
      <c r="AX12" s="44">
        <f>HLOOKUP($AX$9&amp;$AX$10,Data!$A$1:$ZZ$2000,(MATCH($C12,Data!$A$1:$A$2000,0)),FALSE)</f>
        <v>560.1</v>
      </c>
      <c r="AY12" s="156"/>
      <c r="AZ12" s="44"/>
    </row>
    <row r="13" spans="1:735">
      <c r="A13" s="84" t="str">
        <f>$D$1&amp;3</f>
        <v>SD3</v>
      </c>
      <c r="B13" s="85" t="str">
        <f>IF(ISERROR(VLOOKUP(A13,classifications!A:C,3,FALSE)),0,VLOOKUP(A13,classifications!A:C,3,FALSE))</f>
        <v>Babergh</v>
      </c>
      <c r="C13" s="31" t="s">
        <v>7</v>
      </c>
      <c r="D13" s="49" t="str">
        <f>VLOOKUP($C13,classifications!$C:$J,4,FALSE)</f>
        <v>SD</v>
      </c>
      <c r="E13" s="49">
        <f>VLOOKUP(C13,classifications!C:K,9,FALSE)</f>
        <v>0</v>
      </c>
      <c r="F13" s="59">
        <f t="shared" si="0"/>
        <v>579.70000000000005</v>
      </c>
      <c r="G13" s="105"/>
      <c r="H13" s="60">
        <f t="shared" si="1"/>
        <v>579.70000000000005</v>
      </c>
      <c r="I13" s="112">
        <f>IF(H13="","",IF($I$8="A",(RANK(H13,H$11:H$355,1)+COUNTIF(H$11:H13,H13)-1),(RANK(H13,H$11:H$355)+COUNTIF(H$11:H13,H13)-1)))</f>
        <v>162</v>
      </c>
      <c r="J13" s="58"/>
      <c r="K13" s="51">
        <f t="shared" si="10"/>
        <v>3</v>
      </c>
      <c r="L13" s="59" t="str">
        <f t="shared" si="2"/>
        <v>Colchester</v>
      </c>
      <c r="M13" s="153">
        <f t="shared" si="3"/>
        <v>307.3</v>
      </c>
      <c r="N13" s="148">
        <f>IF(L13="","",IF($H$8="%%",M13*100,M13))</f>
        <v>307.3</v>
      </c>
      <c r="O13" s="131">
        <f t="shared" si="11"/>
        <v>307.3</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Urban with Significant Rural (rural including hub towns 26-49%)</v>
      </c>
      <c r="Y13" s="49" t="str">
        <f t="shared" si="4"/>
        <v/>
      </c>
      <c r="Z13" s="57" t="str">
        <f>IF(Y13="","",IF(I$8="A",(RANK(Y13,Y$11:Y$355,1)+COUNTIF(Y$11:Y13,Y13)-1),(RANK(Y13,Y$11:Y$355)+COUNTIF(Y$11:Y13,Y13)-1)))</f>
        <v/>
      </c>
      <c r="AA13" s="242" t="str">
        <f>IF(L13="","",VLOOKUP($L13,classifications!C:I,7,FALSE))</f>
        <v>Significant Rural</v>
      </c>
      <c r="AB13" s="236" t="str">
        <f>IF(AA13=$J$3,M13,"")</f>
        <v/>
      </c>
      <c r="AC13" s="236" t="str">
        <f>IF(AB13="","",IF($I$8="A",(RANK(AB13,AB$11:AB$355)+COUNTIF(AB$11:AB13,AB13)-1),(RANK(AB13,AB$11:AB$355,1)+COUNTIF(AB$11:AB13,AB13)-1)))</f>
        <v/>
      </c>
      <c r="AD13" s="236"/>
      <c r="AE13" s="71" t="e">
        <f>IF(I$8="A",(RANK(AG13,AG$11:AG$355,1)+COUNTIF(AG$11:AG13,AG13)-1),(RANK(AG13,AG$11:AG$355)+COUNTIF(AG$11:AG13,AG13)-1))</f>
        <v>#N/A</v>
      </c>
      <c r="AF13" s="6" t="str">
        <f>VLOOKUP(Profile!$J$5,Families!$C:$R,3,FALSE)</f>
        <v>Carlisle</v>
      </c>
      <c r="AG13" s="143">
        <f t="shared" si="15"/>
        <v>518.20000000000005</v>
      </c>
      <c r="AH13" s="72" t="e">
        <f t="shared" ref="AH13:AH26" si="22">AE13</f>
        <v>#N/A</v>
      </c>
      <c r="AI13" s="61" t="str">
        <f>IF(L13="","",VLOOKUP($L13,classifications!$C:$J,8,FALSE))</f>
        <v>Essex</v>
      </c>
      <c r="AJ13" s="62" t="str">
        <f>IF(AI13=$I$3,M13,"")</f>
        <v/>
      </c>
      <c r="AK13" s="57" t="str">
        <f>IF(AJ13="","",IF(I$8="A",(RANK(AJ13,AJ$11:AJ$355,1)+COUNTIF(AJ$11:AJ13,AJ13)-1),(RANK(AJ13,AJ$11:AJ$355)+COUNTIF(AJ$11:AJ13,AJ13)-1)))</f>
        <v/>
      </c>
      <c r="AL13" s="52">
        <f t="shared" si="16"/>
        <v>3</v>
      </c>
      <c r="AM13" s="31" t="str">
        <f t="shared" si="6"/>
        <v>Carlisle</v>
      </c>
      <c r="AN13" s="31">
        <f t="shared" si="7"/>
        <v>518.20000000000005</v>
      </c>
      <c r="AP13" s="61" t="str">
        <f>IF(L13="","",VLOOKUP($L13,classifications!$C:$E,3,FALSE))</f>
        <v>East of England</v>
      </c>
      <c r="AQ13" s="62" t="str">
        <f t="shared" si="17"/>
        <v/>
      </c>
      <c r="AR13" s="57" t="str">
        <f>IF(AQ13="","",IF(I$8="A",(RANK(AQ13,AQ$11:AQ$355,1)+COUNTIF(AQ$11:AQ13,AQ13)-1),(RANK(AQ13,AQ$11:AQ$355)+COUNTIF(AQ$11:AQ13,AQ13)-1)))</f>
        <v/>
      </c>
      <c r="AS13" s="52">
        <f t="shared" si="18"/>
        <v>3</v>
      </c>
      <c r="AT13" s="57" t="str">
        <f t="shared" si="8"/>
        <v>Wyre</v>
      </c>
      <c r="AU13" s="62">
        <f t="shared" si="9"/>
        <v>477.9</v>
      </c>
      <c r="AX13" s="44">
        <f>HLOOKUP($AX$9&amp;$AX$10,Data!$A$1:$ZZ$2000,(MATCH($C13,Data!$A$1:$A$2000,0)),FALSE)</f>
        <v>579.70000000000005</v>
      </c>
      <c r="AY13" s="156"/>
      <c r="AZ13" s="44"/>
    </row>
    <row r="14" spans="1:735">
      <c r="A14" s="84" t="str">
        <f>$D$1&amp;4</f>
        <v>SD4</v>
      </c>
      <c r="B14" s="85" t="str">
        <f>IF(ISERROR(VLOOKUP(A14,classifications!A:C,3,FALSE)),0,VLOOKUP(A14,classifications!A:C,3,FALSE))</f>
        <v>Boston</v>
      </c>
      <c r="C14" s="31" t="s">
        <v>8</v>
      </c>
      <c r="D14" s="49" t="str">
        <f>VLOOKUP($C14,classifications!$C:$J,4,FALSE)</f>
        <v>SD</v>
      </c>
      <c r="E14" s="49">
        <f>VLOOKUP(C14,classifications!C:K,9,FALSE)</f>
        <v>0</v>
      </c>
      <c r="F14" s="59">
        <f t="shared" si="0"/>
        <v>448.1</v>
      </c>
      <c r="G14" s="105"/>
      <c r="H14" s="60">
        <f t="shared" si="1"/>
        <v>448.1</v>
      </c>
      <c r="I14" s="112">
        <f>IF(H14="","",IF($I$8="A",(RANK(H14,H$11:H$355,1)+COUNTIF(H$11:H14,H14)-1),(RANK(H14,H$11:H$355)+COUNTIF(H$11:H14,H14)-1)))</f>
        <v>56</v>
      </c>
      <c r="J14" s="58"/>
      <c r="K14" s="51">
        <f t="shared" si="10"/>
        <v>4</v>
      </c>
      <c r="L14" s="59" t="str">
        <f t="shared" si="2"/>
        <v>Vale of White Horse</v>
      </c>
      <c r="M14" s="153">
        <f t="shared" si="3"/>
        <v>325.2</v>
      </c>
      <c r="N14" s="148">
        <f t="shared" ref="N14:N75" si="23">IF(L14="","",IF($H$8="%%",M14*100,M14))</f>
        <v>325.2</v>
      </c>
      <c r="O14" s="131">
        <f t="shared" si="11"/>
        <v>325.2</v>
      </c>
      <c r="P14" s="131" t="str">
        <f t="shared" si="19"/>
        <v/>
      </c>
      <c r="Q14" s="131" t="str">
        <f t="shared" si="20"/>
        <v/>
      </c>
      <c r="R14" s="127" t="str">
        <f t="shared" si="21"/>
        <v/>
      </c>
      <c r="S14" s="60" t="str">
        <f t="shared" si="12"/>
        <v/>
      </c>
      <c r="T14" s="228" t="str">
        <f>IF(L14="","",VLOOKUP(L14,classifications!C:K,9,FALSE))</f>
        <v>Sparse</v>
      </c>
      <c r="U14" s="235">
        <f t="shared" si="13"/>
        <v>325.2</v>
      </c>
      <c r="V14" s="236">
        <f>IF(U14="","",IF($I$8="A",(RANK(U14,U$11:U$355)+COUNTIF(U$11:U14,U14)-1),(RANK(U14,U$11:U$355,1)+COUNTIF(U$11:U14,U14)-1)))</f>
        <v>59</v>
      </c>
      <c r="W14" s="237"/>
      <c r="X14" s="61" t="str">
        <f>IF(L14="","",VLOOKUP($L14,classifications!$C:$J,6,FALSE))</f>
        <v xml:space="preserve">Largely Rural (rural including hub towns 50-79%) </v>
      </c>
      <c r="Y14" s="49" t="str">
        <f t="shared" si="4"/>
        <v/>
      </c>
      <c r="Z14" s="57" t="str">
        <f>IF(Y14="","",IF(I$8="A",(RANK(Y14,Y$11:Y$355,1)+COUNTIF(Y$11:Y14,Y14)-1),(RANK(Y14,Y$11:Y$355)+COUNTIF(Y$11:Y14,Y14)-1)))</f>
        <v/>
      </c>
      <c r="AA14" s="242" t="str">
        <f>IF(L14="","",VLOOKUP($L14,classifications!C:I,7,FALSE))</f>
        <v>Predominantly Rural</v>
      </c>
      <c r="AB14" s="236">
        <f t="shared" si="14"/>
        <v>325.2</v>
      </c>
      <c r="AC14" s="236">
        <f>IF(AB14="","",IF($I$8="A",(RANK(AB14,AB$11:AB$355)+COUNTIF(AB$11:AB14,AB14)-1),(RANK(AB14,AB$11:AB$355,1)+COUNTIF(AB$11:AB14,AB14)-1)))</f>
        <v>68</v>
      </c>
      <c r="AD14" s="236"/>
      <c r="AE14" s="71" t="e">
        <f>IF(I$8="A",(RANK(AG14,AG$11:AG$355,1)+COUNTIF(AG$11:AG14,AG14)-1),(RANK(AG14,AG$11:AG$355)+COUNTIF(AG$11:AG14,AG14)-1))</f>
        <v>#N/A</v>
      </c>
      <c r="AF14" s="6" t="str">
        <f>VLOOKUP(Profile!$J$5,Families!$C:$R,4,FALSE)</f>
        <v>Waveney</v>
      </c>
      <c r="AG14" s="143" t="e">
        <f t="shared" si="15"/>
        <v>#N/A</v>
      </c>
      <c r="AH14" s="72" t="e">
        <f t="shared" si="22"/>
        <v>#N/A</v>
      </c>
      <c r="AI14" s="61" t="str">
        <f>IF(L14="","",VLOOKUP($L14,classifications!$C:$J,8,FALSE))</f>
        <v>Oxfordshire</v>
      </c>
      <c r="AJ14" s="62" t="str">
        <f t="shared" si="5"/>
        <v/>
      </c>
      <c r="AK14" s="57" t="str">
        <f>IF(AJ14="","",IF(I$8="A",(RANK(AJ14,AJ$11:AJ$355,1)+COUNTIF(AJ$11:AJ14,AJ14)-1),(RANK(AJ14,AJ$11:AJ$355)+COUNTIF(AJ$11:AJ14,AJ14)-1)))</f>
        <v/>
      </c>
      <c r="AL14" s="52">
        <f t="shared" si="16"/>
        <v>4</v>
      </c>
      <c r="AM14" s="31" t="str">
        <f t="shared" si="6"/>
        <v>Copeland</v>
      </c>
      <c r="AN14" s="31">
        <f t="shared" si="7"/>
        <v>538.79999999999995</v>
      </c>
      <c r="AP14" s="61" t="str">
        <f>IF(L14="","",VLOOKUP($L14,classifications!$C:$E,3,FALSE))</f>
        <v>South East</v>
      </c>
      <c r="AQ14" s="62" t="str">
        <f t="shared" si="17"/>
        <v/>
      </c>
      <c r="AR14" s="57" t="str">
        <f>IF(AQ14="","",IF(I$8="A",(RANK(AQ14,AQ$11:AQ$355,1)+COUNTIF(AQ$11:AQ14,AQ14)-1),(RANK(AQ14,AQ$11:AQ$355)+COUNTIF(AQ$11:AQ14,AQ14)-1)))</f>
        <v/>
      </c>
      <c r="AS14" s="52">
        <f t="shared" si="18"/>
        <v>4</v>
      </c>
      <c r="AT14" s="57" t="str">
        <f t="shared" si="8"/>
        <v>Fylde</v>
      </c>
      <c r="AU14" s="62">
        <f t="shared" si="9"/>
        <v>482.7</v>
      </c>
      <c r="AX14" s="44">
        <f>HLOOKUP($AX$9&amp;$AX$10,Data!$A$1:$ZZ$2000,(MATCH($C14,Data!$A$1:$A$2000,0)),FALSE)</f>
        <v>448.1</v>
      </c>
      <c r="AY14" s="156"/>
      <c r="AZ14" s="44"/>
    </row>
    <row r="15" spans="1:735">
      <c r="A15" s="84" t="str">
        <f>$D$1&amp;5</f>
        <v>SD5</v>
      </c>
      <c r="B15" s="85" t="str">
        <f>IF(ISERROR(VLOOKUP(A15,classifications!A:C,3,FALSE)),0,VLOOKUP(A15,classifications!A:C,3,FALSE))</f>
        <v>Braintree</v>
      </c>
      <c r="C15" s="31" t="s">
        <v>9</v>
      </c>
      <c r="D15" s="49" t="str">
        <f>VLOOKUP($C15,classifications!$C:$J,4,FALSE)</f>
        <v>SD</v>
      </c>
      <c r="E15" s="49">
        <f>VLOOKUP(C15,classifications!C:K,9,FALSE)</f>
        <v>0</v>
      </c>
      <c r="F15" s="59">
        <f t="shared" si="0"/>
        <v>571.6</v>
      </c>
      <c r="G15" s="105"/>
      <c r="H15" s="60">
        <f t="shared" si="1"/>
        <v>571.6</v>
      </c>
      <c r="I15" s="112">
        <f>IF(H15="","",IF($I$8="A",(RANK(H15,H$11:H$355,1)+COUNTIF(H$11:H15,H15)-1),(RANK(H15,H$11:H$355)+COUNTIF(H$11:H15,H15)-1)))</f>
        <v>157</v>
      </c>
      <c r="J15" s="58"/>
      <c r="K15" s="51">
        <f t="shared" si="10"/>
        <v>5</v>
      </c>
      <c r="L15" s="59" t="str">
        <f t="shared" si="2"/>
        <v>West Devon</v>
      </c>
      <c r="M15" s="153">
        <f t="shared" si="3"/>
        <v>326.89999999999998</v>
      </c>
      <c r="N15" s="148">
        <f t="shared" si="23"/>
        <v>326.89999999999998</v>
      </c>
      <c r="O15" s="131">
        <f t="shared" si="11"/>
        <v>326.89999999999998</v>
      </c>
      <c r="P15" s="131" t="str">
        <f t="shared" si="19"/>
        <v/>
      </c>
      <c r="Q15" s="131" t="str">
        <f t="shared" si="20"/>
        <v/>
      </c>
      <c r="R15" s="127" t="str">
        <f t="shared" si="21"/>
        <v/>
      </c>
      <c r="S15" s="60" t="str">
        <f t="shared" si="12"/>
        <v/>
      </c>
      <c r="T15" s="228" t="str">
        <f>IF(L15="","",VLOOKUP(L15,classifications!C:K,9,FALSE))</f>
        <v>Sparse</v>
      </c>
      <c r="U15" s="235">
        <f t="shared" si="13"/>
        <v>326.89999999999998</v>
      </c>
      <c r="V15" s="236">
        <f>IF(U15="","",IF($I$8="A",(RANK(U15,U$11:U$355)+COUNTIF(U$11:U15,U15)-1),(RANK(U15,U$11:U$355,1)+COUNTIF(U$11:U15,U15)-1)))</f>
        <v>58</v>
      </c>
      <c r="W15" s="237"/>
      <c r="X15" s="61" t="str">
        <f>IF(L15="","",VLOOKUP($L15,classifications!$C:$J,6,FALSE))</f>
        <v xml:space="preserve">Mainly Rural (rural including hub towns &gt;=80%) </v>
      </c>
      <c r="Y15" s="49">
        <f t="shared" si="4"/>
        <v>326.89999999999998</v>
      </c>
      <c r="Z15" s="57">
        <f>IF(Y15="","",IF(I$8="A",(RANK(Y15,Y$11:Y$355,1)+COUNTIF(Y$11:Y15,Y15)-1),(RANK(Y15,Y$11:Y$355)+COUNTIF(Y$11:Y15,Y15)-1)))</f>
        <v>1</v>
      </c>
      <c r="AA15" s="242" t="str">
        <f>IF(L15="","",VLOOKUP($L15,classifications!C:I,7,FALSE))</f>
        <v>Predominantly Rural</v>
      </c>
      <c r="AB15" s="236">
        <f t="shared" si="14"/>
        <v>326.89999999999998</v>
      </c>
      <c r="AC15" s="236">
        <f>IF(AB15="","",IF($I$8="A",(RANK(AB15,AB$11:AB$355)+COUNTIF(AB$11:AB15,AB15)-1),(RANK(AB15,AB$11:AB$355,1)+COUNTIF(AB$11:AB15,AB15)-1)))</f>
        <v>67</v>
      </c>
      <c r="AD15" s="236"/>
      <c r="AE15" s="71" t="e">
        <f>IF(I$8="A",(RANK(AG15,AG$11:AG$355,1)+COUNTIF(AG$11:AG15,AG15)-1),(RANK(AG15,AG$11:AG$355)+COUNTIF(AG$11:AG15,AG15)-1))</f>
        <v>#N/A</v>
      </c>
      <c r="AF15" s="6" t="str">
        <f>VLOOKUP(Profile!$J$5,Families!$C:$R,5,FALSE)</f>
        <v>Bassetlaw</v>
      </c>
      <c r="AG15" s="143">
        <f t="shared" si="15"/>
        <v>678.2</v>
      </c>
      <c r="AH15" s="72" t="e">
        <f t="shared" si="22"/>
        <v>#N/A</v>
      </c>
      <c r="AI15" s="61" t="str">
        <f>IF(L15="","",VLOOKUP($L15,classifications!$C:$J,8,FALSE))</f>
        <v>Devon</v>
      </c>
      <c r="AJ15" s="62" t="str">
        <f t="shared" si="5"/>
        <v/>
      </c>
      <c r="AK15" s="57" t="str">
        <f>IF(AJ15="","",IF(I$8="A",(RANK(AJ15,AJ$11:AJ$355,1)+COUNTIF(AJ$11:AJ15,AJ15)-1),(RANK(AJ15,AJ$11:AJ$355)+COUNTIF(AJ$11:AJ15,AJ15)-1)))</f>
        <v/>
      </c>
      <c r="AL15" s="52">
        <f t="shared" si="16"/>
        <v>5</v>
      </c>
      <c r="AM15" s="31" t="str">
        <f t="shared" si="6"/>
        <v>Allerdale</v>
      </c>
      <c r="AN15" s="31">
        <f t="shared" si="7"/>
        <v>560.1</v>
      </c>
      <c r="AP15" s="61" t="str">
        <f>IF(L15="","",VLOOKUP($L15,classifications!$C:$E,3,FALSE))</f>
        <v>South West</v>
      </c>
      <c r="AQ15" s="62" t="str">
        <f t="shared" si="17"/>
        <v/>
      </c>
      <c r="AR15" s="57" t="str">
        <f>IF(AQ15="","",IF(I$8="A",(RANK(AQ15,AQ$11:AQ$355,1)+COUNTIF(AQ$11:AQ15,AQ15)-1),(RANK(AQ15,AQ$11:AQ$355)+COUNTIF(AQ$11:AQ15,AQ15)-1)))</f>
        <v/>
      </c>
      <c r="AS15" s="52">
        <f t="shared" si="18"/>
        <v>5</v>
      </c>
      <c r="AT15" s="57" t="str">
        <f t="shared" si="8"/>
        <v>Lancaster</v>
      </c>
      <c r="AU15" s="62">
        <f t="shared" si="9"/>
        <v>490.9</v>
      </c>
      <c r="AX15" s="44">
        <f>HLOOKUP($AX$9&amp;$AX$10,Data!$A$1:$ZZ$2000,(MATCH($C15,Data!$A$1:$A$2000,0)),FALSE)</f>
        <v>571.6</v>
      </c>
      <c r="AY15" s="156"/>
      <c r="AZ15" s="44"/>
    </row>
    <row r="16" spans="1:735">
      <c r="A16" s="84" t="str">
        <f>$D$1&amp;6</f>
        <v>SD6</v>
      </c>
      <c r="B16" s="85" t="str">
        <f>IF(ISERROR(VLOOKUP(A16,classifications!A:C,3,FALSE)),0,VLOOKUP(A16,classifications!A:C,3,FALSE))</f>
        <v>Breckland</v>
      </c>
      <c r="C16" s="31" t="s">
        <v>10</v>
      </c>
      <c r="D16" s="49" t="str">
        <f>VLOOKUP($C16,classifications!$C:$J,4,FALSE)</f>
        <v>SD</v>
      </c>
      <c r="E16" s="49" t="str">
        <f>VLOOKUP(C16,classifications!C:K,9,FALSE)</f>
        <v>Sparse</v>
      </c>
      <c r="F16" s="59">
        <f t="shared" si="0"/>
        <v>425.8</v>
      </c>
      <c r="G16" s="105"/>
      <c r="H16" s="60">
        <f t="shared" si="1"/>
        <v>425.8</v>
      </c>
      <c r="I16" s="112">
        <f>IF(H16="","",IF($I$8="A",(RANK(H16,H$11:H$355,1)+COUNTIF(H$11:H16,H16)-1),(RANK(H16,H$11:H$355)+COUNTIF(H$11:H16,H16)-1)))</f>
        <v>36</v>
      </c>
      <c r="J16" s="58"/>
      <c r="K16" s="51">
        <f t="shared" si="10"/>
        <v>6</v>
      </c>
      <c r="L16" s="59" t="str">
        <f t="shared" si="2"/>
        <v>Three Rivers</v>
      </c>
      <c r="M16" s="153">
        <f t="shared" si="3"/>
        <v>333.6</v>
      </c>
      <c r="N16" s="148">
        <f t="shared" si="23"/>
        <v>333.6</v>
      </c>
      <c r="O16" s="131">
        <f t="shared" si="11"/>
        <v>333.6</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Major Conurbation</v>
      </c>
      <c r="Y16" s="49" t="str">
        <f t="shared" si="4"/>
        <v/>
      </c>
      <c r="Z16" s="57" t="str">
        <f>IF(Y16="","",IF(I$8="A",(RANK(Y16,Y$11:Y$355,1)+COUNTIF(Y$11:Y16,Y16)-1),(RANK(Y16,Y$11:Y$355)+COUNTIF(Y$11:Y16,Y16)-1)))</f>
        <v/>
      </c>
      <c r="AA16" s="242" t="str">
        <f>IF(L16="","",VLOOKUP($L16,classifications!C:I,7,FALSE))</f>
        <v>Predominantly Urban</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North Devon</v>
      </c>
      <c r="AG16" s="143">
        <f t="shared" si="15"/>
        <v>423.1</v>
      </c>
      <c r="AH16" s="72" t="e">
        <f t="shared" si="22"/>
        <v>#N/A</v>
      </c>
      <c r="AI16" s="61" t="str">
        <f>IF(L16="","",VLOOKUP($L16,classifications!$C:$J,8,FALSE))</f>
        <v>Hertfordshire</v>
      </c>
      <c r="AJ16" s="62" t="str">
        <f t="shared" si="5"/>
        <v/>
      </c>
      <c r="AK16" s="57" t="str">
        <f>IF(AJ16="","",IF(I$8="A",(RANK(AJ16,AJ$11:AJ$355,1)+COUNTIF(AJ$11:AJ16,AJ16)-1),(RANK(AJ16,AJ$11:AJ$355)+COUNTIF(AJ$11:AJ16,AJ16)-1)))</f>
        <v/>
      </c>
      <c r="AL16" s="52">
        <f t="shared" si="16"/>
        <v>6</v>
      </c>
      <c r="AM16" s="31" t="str">
        <f t="shared" si="6"/>
        <v>Barrow-in-Furness</v>
      </c>
      <c r="AN16" s="31">
        <f t="shared" si="7"/>
        <v>640</v>
      </c>
      <c r="AP16" s="61" t="str">
        <f>IF(L16="","",VLOOKUP($L16,classifications!$C:$E,3,FALSE))</f>
        <v>East of England</v>
      </c>
      <c r="AQ16" s="62" t="str">
        <f t="shared" si="17"/>
        <v/>
      </c>
      <c r="AR16" s="57" t="str">
        <f>IF(AQ16="","",IF(I$8="A",(RANK(AQ16,AQ$11:AQ$355,1)+COUNTIF(AQ$11:AQ16,AQ16)-1),(RANK(AQ16,AQ$11:AQ$355)+COUNTIF(AQ$11:AQ16,AQ16)-1)))</f>
        <v/>
      </c>
      <c r="AS16" s="52">
        <f t="shared" si="18"/>
        <v>6</v>
      </c>
      <c r="AT16" s="57" t="str">
        <f t="shared" si="8"/>
        <v>South Lakeland</v>
      </c>
      <c r="AU16" s="62">
        <f t="shared" si="9"/>
        <v>491.5</v>
      </c>
      <c r="AX16" s="44">
        <f>HLOOKUP($AX$9&amp;$AX$10,Data!$A$1:$ZZ$2000,(MATCH($C16,Data!$A$1:$A$2000,0)),FALSE)</f>
        <v>425.8</v>
      </c>
      <c r="AY16" s="156"/>
      <c r="AZ16" s="44"/>
    </row>
    <row r="17" spans="1:52">
      <c r="A17" s="84" t="str">
        <f>$D$1&amp;7</f>
        <v>SD7</v>
      </c>
      <c r="B17" s="85" t="str">
        <f>IF(ISERROR(VLOOKUP(A17,classifications!A:C,3,FALSE)),0,VLOOKUP(A17,classifications!A:C,3,FALSE))</f>
        <v>Chichester</v>
      </c>
      <c r="C17" s="31" t="s">
        <v>11</v>
      </c>
      <c r="D17" s="49" t="str">
        <f>VLOOKUP($C17,classifications!$C:$J,4,FALSE)</f>
        <v>SD</v>
      </c>
      <c r="E17" s="49">
        <f>VLOOKUP(C17,classifications!C:K,9,FALSE)</f>
        <v>0</v>
      </c>
      <c r="F17" s="59" t="str">
        <f t="shared" si="0"/>
        <v>-</v>
      </c>
      <c r="G17" s="105"/>
      <c r="H17" s="60" t="str">
        <f t="shared" si="1"/>
        <v>-</v>
      </c>
      <c r="I17" s="112" t="e">
        <f>IF(H17="","",IF($I$8="A",(RANK(H17,H$11:H$355,1)+COUNTIF(H$11:H17,H17)-1),(RANK(H17,H$11:H$355)+COUNTIF(H$11:H17,H17)-1)))</f>
        <v>#VALUE!</v>
      </c>
      <c r="J17" s="58"/>
      <c r="K17" s="51">
        <f t="shared" si="10"/>
        <v>7</v>
      </c>
      <c r="L17" s="59" t="str">
        <f t="shared" si="2"/>
        <v>St Albans</v>
      </c>
      <c r="M17" s="153">
        <f t="shared" si="3"/>
        <v>335.5</v>
      </c>
      <c r="N17" s="148">
        <f t="shared" si="23"/>
        <v>335.5</v>
      </c>
      <c r="O17" s="131">
        <f t="shared" si="11"/>
        <v>335.5</v>
      </c>
      <c r="P17" s="131" t="str">
        <f t="shared" si="19"/>
        <v/>
      </c>
      <c r="Q17" s="131" t="str">
        <f t="shared" si="20"/>
        <v/>
      </c>
      <c r="R17" s="127" t="str">
        <f t="shared" si="21"/>
        <v/>
      </c>
      <c r="S17" s="60" t="str">
        <f t="shared" si="12"/>
        <v/>
      </c>
      <c r="T17" s="228">
        <f>IF(L17="","",VLOOKUP(L17,classifications!C:K,9,FALSE))</f>
        <v>0</v>
      </c>
      <c r="U17" s="235" t="str">
        <f t="shared" si="13"/>
        <v/>
      </c>
      <c r="V17" s="236" t="str">
        <f>IF(U17="","",IF($I$8="A",(RANK(U17,U$11:U$355)+COUNTIF(U$11:U17,U17)-1),(RANK(U17,U$11:U$355,1)+COUNTIF(U$11:U17,U17)-1)))</f>
        <v/>
      </c>
      <c r="W17" s="237"/>
      <c r="X17" s="61" t="str">
        <f>IF(L17="","",VLOOKUP($L17,classifications!$C:$J,6,FALSE))</f>
        <v>Urban with City and Town</v>
      </c>
      <c r="Y17" s="49" t="str">
        <f t="shared" si="4"/>
        <v/>
      </c>
      <c r="Z17" s="57" t="str">
        <f>IF(Y17="","",IF(I$8="A",(RANK(Y17,Y$11:Y$355,1)+COUNTIF(Y$11:Y17,Y17)-1),(RANK(Y17,Y$11:Y$355)+COUNTIF(Y$11:Y17,Y17)-1)))</f>
        <v/>
      </c>
      <c r="AA17" s="242" t="str">
        <f>IF(L17="","",VLOOKUP($L17,classifications!C:I,7,FALSE))</f>
        <v>Predominantly Urban</v>
      </c>
      <c r="AB17" s="236" t="str">
        <f t="shared" si="14"/>
        <v/>
      </c>
      <c r="AC17" s="236" t="str">
        <f>IF(AB17="","",IF($I$8="A",(RANK(AB17,AB$11:AB$355)+COUNTIF(AB$11:AB17,AB17)-1),(RANK(AB17,AB$11:AB$355,1)+COUNTIF(AB$11:AB17,AB17)-1)))</f>
        <v/>
      </c>
      <c r="AD17" s="236"/>
      <c r="AE17" s="71" t="e">
        <f>IF(I$8="A",(RANK(AG17,AG$11:AG$355,1)+COUNTIF(AG$11:AG17,AG17)-1),(RANK(AG17,AG$11:AG$355)+COUNTIF(AG$11:AG17,AG17)-1))</f>
        <v>#VALUE!</v>
      </c>
      <c r="AF17" s="6" t="str">
        <f>VLOOKUP(Profile!$J$5,Families!$C:$R,7,FALSE)</f>
        <v>Sedgemoor</v>
      </c>
      <c r="AG17" s="143" t="str">
        <f t="shared" si="15"/>
        <v>-</v>
      </c>
      <c r="AH17" s="72" t="e">
        <f t="shared" si="22"/>
        <v>#VALUE!</v>
      </c>
      <c r="AI17" s="61" t="str">
        <f>IF(L17="","",VLOOKUP($L17,classifications!$C:$J,8,FALSE))</f>
        <v>Hertfordshire</v>
      </c>
      <c r="AJ17" s="62" t="str">
        <f t="shared" si="5"/>
        <v/>
      </c>
      <c r="AK17" s="57" t="str">
        <f>IF(AJ17="","",IF(I$8="A",(RANK(AJ17,AJ$11:AJ$355,1)+COUNTIF(AJ$11:AJ17,AJ17)-1),(RANK(AJ17,AJ$11:AJ$355)+COUNTIF(AJ$11:AJ17,AJ17)-1)))</f>
        <v/>
      </c>
      <c r="AL17" s="52" t="str">
        <f t="shared" si="16"/>
        <v/>
      </c>
      <c r="AM17" s="31" t="str">
        <f t="shared" si="6"/>
        <v/>
      </c>
      <c r="AN17" s="31" t="str">
        <f t="shared" si="7"/>
        <v/>
      </c>
      <c r="AP17" s="61" t="str">
        <f>IF(L17="","",VLOOKUP($L17,classifications!$C:$E,3,FALSE))</f>
        <v>East of England</v>
      </c>
      <c r="AQ17" s="62" t="str">
        <f t="shared" si="17"/>
        <v/>
      </c>
      <c r="AR17" s="57" t="str">
        <f>IF(AQ17="","",IF(I$8="A",(RANK(AQ17,AQ$11:AQ$355,1)+COUNTIF(AQ$11:AQ17,AQ17)-1),(RANK(AQ17,AQ$11:AQ$355)+COUNTIF(AQ$11:AQ17,AQ17)-1)))</f>
        <v/>
      </c>
      <c r="AS17" s="52">
        <f t="shared" si="18"/>
        <v>7</v>
      </c>
      <c r="AT17" s="57" t="str">
        <f t="shared" si="8"/>
        <v>South Ribble</v>
      </c>
      <c r="AU17" s="62">
        <f t="shared" si="9"/>
        <v>504.9</v>
      </c>
      <c r="AX17" s="44" t="str">
        <f>HLOOKUP($AX$9&amp;$AX$10,Data!$A$1:$ZZ$2000,(MATCH($C17,Data!$A$1:$A$2000,0)),FALSE)</f>
        <v>-</v>
      </c>
      <c r="AY17" s="156"/>
      <c r="AZ17" s="44"/>
    </row>
    <row r="18" spans="1:52">
      <c r="A18" s="84" t="str">
        <f>$D$1&amp;8</f>
        <v>SD8</v>
      </c>
      <c r="B18" s="85" t="str">
        <f>IF(ISERROR(VLOOKUP(A18,classifications!A:C,3,FALSE)),0,VLOOKUP(A18,classifications!A:C,3,FALSE))</f>
        <v>Copeland</v>
      </c>
      <c r="C18" s="31" t="s">
        <v>12</v>
      </c>
      <c r="D18" s="49" t="str">
        <f>VLOOKUP($C18,classifications!$C:$J,4,FALSE)</f>
        <v>SD</v>
      </c>
      <c r="E18" s="49" t="str">
        <f>VLOOKUP(C18,classifications!C:K,9,FALSE)</f>
        <v>Sparse</v>
      </c>
      <c r="F18" s="59" t="str">
        <f t="shared" si="0"/>
        <v>-</v>
      </c>
      <c r="G18" s="105"/>
      <c r="H18" s="60" t="str">
        <f t="shared" si="1"/>
        <v>-</v>
      </c>
      <c r="I18" s="112" t="e">
        <f>IF(H18="","",IF($I$8="A",(RANK(H18,H$11:H$355,1)+COUNTIF(H$11:H18,H18)-1),(RANK(H18,H$11:H$355)+COUNTIF(H$11:H18,H18)-1)))</f>
        <v>#VALUE!</v>
      </c>
      <c r="J18" s="58"/>
      <c r="K18" s="51">
        <f t="shared" si="10"/>
        <v>8</v>
      </c>
      <c r="L18" s="59" t="str">
        <f t="shared" si="2"/>
        <v>South Oxfordshire</v>
      </c>
      <c r="M18" s="153">
        <f t="shared" si="3"/>
        <v>336.3</v>
      </c>
      <c r="N18" s="148">
        <f t="shared" si="23"/>
        <v>336.3</v>
      </c>
      <c r="O18" s="131">
        <f t="shared" si="11"/>
        <v>336.3</v>
      </c>
      <c r="P18" s="131" t="str">
        <f t="shared" si="19"/>
        <v/>
      </c>
      <c r="Q18" s="131" t="str">
        <f t="shared" si="20"/>
        <v/>
      </c>
      <c r="R18" s="127" t="str">
        <f t="shared" si="21"/>
        <v/>
      </c>
      <c r="S18" s="60" t="str">
        <f t="shared" si="12"/>
        <v/>
      </c>
      <c r="T18" s="228" t="str">
        <f>IF(L18="","",VLOOKUP(L18,classifications!C:K,9,FALSE))</f>
        <v>Sparse</v>
      </c>
      <c r="U18" s="235">
        <f t="shared" si="13"/>
        <v>336.3</v>
      </c>
      <c r="V18" s="236">
        <f>IF(U18="","",IF($I$8="A",(RANK(U18,U$11:U$355)+COUNTIF(U$11:U18,U18)-1),(RANK(U18,U$11:U$355,1)+COUNTIF(U$11:U18,U18)-1)))</f>
        <v>57</v>
      </c>
      <c r="W18" s="237"/>
      <c r="X18" s="61" t="str">
        <f>IF(L18="","",VLOOKUP($L18,classifications!$C:$J,6,FALSE))</f>
        <v xml:space="preserve">Mainly Rural (rural including hub towns &gt;=80%) </v>
      </c>
      <c r="Y18" s="49">
        <f t="shared" si="4"/>
        <v>336.3</v>
      </c>
      <c r="Z18" s="57">
        <f>IF(Y18="","",IF(I$8="A",(RANK(Y18,Y$11:Y$355,1)+COUNTIF(Y$11:Y18,Y18)-1),(RANK(Y18,Y$11:Y$355)+COUNTIF(Y$11:Y18,Y18)-1)))</f>
        <v>2</v>
      </c>
      <c r="AA18" s="242" t="str">
        <f>IF(L18="","",VLOOKUP($L18,classifications!C:I,7,FALSE))</f>
        <v>Predominantly Rural</v>
      </c>
      <c r="AB18" s="236">
        <f t="shared" si="14"/>
        <v>336.3</v>
      </c>
      <c r="AC18" s="236">
        <f>IF(AB18="","",IF($I$8="A",(RANK(AB18,AB$11:AB$355)+COUNTIF(AB$11:AB18,AB18)-1),(RANK(AB18,AB$11:AB$355,1)+COUNTIF(AB$11:AB18,AB18)-1)))</f>
        <v>66</v>
      </c>
      <c r="AD18" s="236"/>
      <c r="AE18" s="71" t="e">
        <f>IF(I$8="A",(RANK(AG18,AG$11:AG$355,1)+COUNTIF(AG$11:AG18,AG18)-1),(RANK(AG18,AG$11:AG$355)+COUNTIF(AG$11:AG18,AG18)-1))</f>
        <v>#N/A</v>
      </c>
      <c r="AF18" s="6" t="str">
        <f>VLOOKUP(Profile!$J$5,Families!$C:$R,8,FALSE)</f>
        <v>Torridge</v>
      </c>
      <c r="AG18" s="143">
        <f t="shared" si="15"/>
        <v>358.4</v>
      </c>
      <c r="AH18" s="72" t="e">
        <f t="shared" si="22"/>
        <v>#N/A</v>
      </c>
      <c r="AI18" s="61" t="str">
        <f>IF(L18="","",VLOOKUP($L18,classifications!$C:$J,8,FALSE))</f>
        <v>Oxfordshire</v>
      </c>
      <c r="AJ18" s="62" t="str">
        <f t="shared" si="5"/>
        <v/>
      </c>
      <c r="AK18" s="57" t="str">
        <f>IF(AJ18="","",IF(I$8="A",(RANK(AJ18,AJ$11:AJ$355,1)+COUNTIF(AJ$11:AJ18,AJ18)-1),(RANK(AJ18,AJ$11:AJ$355)+COUNTIF(AJ$11:AJ18,AJ18)-1)))</f>
        <v/>
      </c>
      <c r="AL18" s="52" t="str">
        <f t="shared" si="16"/>
        <v/>
      </c>
      <c r="AM18" s="31" t="str">
        <f t="shared" si="6"/>
        <v/>
      </c>
      <c r="AN18" s="31" t="str">
        <f t="shared" si="7"/>
        <v/>
      </c>
      <c r="AP18" s="61" t="str">
        <f>IF(L18="","",VLOOKUP($L18,classifications!$C:$E,3,FALSE))</f>
        <v>South East</v>
      </c>
      <c r="AQ18" s="62" t="str">
        <f t="shared" si="17"/>
        <v/>
      </c>
      <c r="AR18" s="57" t="str">
        <f>IF(AQ18="","",IF(I$8="A",(RANK(AQ18,AQ$11:AQ$355,1)+COUNTIF(AQ$11:AQ18,AQ18)-1),(RANK(AQ18,AQ$11:AQ$355)+COUNTIF(AQ$11:AQ18,AQ18)-1)))</f>
        <v/>
      </c>
      <c r="AS18" s="52">
        <f t="shared" si="18"/>
        <v>8</v>
      </c>
      <c r="AT18" s="57" t="str">
        <f t="shared" si="8"/>
        <v>West Lancashire</v>
      </c>
      <c r="AU18" s="62">
        <f t="shared" si="9"/>
        <v>505.6</v>
      </c>
      <c r="AX18" s="44" t="str">
        <f>HLOOKUP($AX$9&amp;$AX$10,Data!$A$1:$ZZ$2000,(MATCH($C18,Data!$A$1:$A$2000,0)),FALSE)</f>
        <v>-</v>
      </c>
      <c r="AY18" s="156"/>
      <c r="AZ18" s="44"/>
    </row>
    <row r="19" spans="1:52">
      <c r="A19" s="84" t="str">
        <f>$D$1&amp;9</f>
        <v>SD9</v>
      </c>
      <c r="B19" s="85" t="str">
        <f>IF(ISERROR(VLOOKUP(A19,classifications!A:C,3,FALSE)),0,VLOOKUP(A19,classifications!A:C,3,FALSE))</f>
        <v>Cotswold</v>
      </c>
      <c r="C19" s="31" t="s">
        <v>338</v>
      </c>
      <c r="D19" s="49" t="str">
        <f>VLOOKUP($C19,classifications!$C:$J,4,FALSE)</f>
        <v>L</v>
      </c>
      <c r="E19" s="49">
        <f>VLOOKUP(C19,classifications!C:K,9,FALSE)</f>
        <v>0</v>
      </c>
      <c r="F19" s="59">
        <f t="shared" si="0"/>
        <v>850</v>
      </c>
      <c r="G19" s="105"/>
      <c r="H19" s="60" t="str">
        <f t="shared" si="1"/>
        <v/>
      </c>
      <c r="I19" s="112" t="str">
        <f>IF(H19="","",IF($I$8="A",(RANK(H19,H$11:H$355,1)+COUNTIF(H$11:H19,H19)-1),(RANK(H19,H$11:H$355)+COUNTIF(H$11:H19,H19)-1)))</f>
        <v/>
      </c>
      <c r="J19" s="58"/>
      <c r="K19" s="51">
        <f t="shared" si="10"/>
        <v>9</v>
      </c>
      <c r="L19" s="59" t="str">
        <f t="shared" si="2"/>
        <v>Oxford</v>
      </c>
      <c r="M19" s="153">
        <f t="shared" si="3"/>
        <v>350</v>
      </c>
      <c r="N19" s="148">
        <f t="shared" si="23"/>
        <v>350</v>
      </c>
      <c r="O19" s="131">
        <f t="shared" si="11"/>
        <v>350</v>
      </c>
      <c r="P19" s="131" t="str">
        <f t="shared" si="19"/>
        <v/>
      </c>
      <c r="Q19" s="131" t="str">
        <f t="shared" si="20"/>
        <v/>
      </c>
      <c r="R19" s="127" t="str">
        <f t="shared" si="21"/>
        <v/>
      </c>
      <c r="S19" s="60" t="str">
        <f t="shared" si="12"/>
        <v/>
      </c>
      <c r="T19" s="228">
        <f>IF(L19="","",VLOOKUP(L19,classifications!C:K,9,FALSE))</f>
        <v>0</v>
      </c>
      <c r="U19" s="235" t="str">
        <f t="shared" si="13"/>
        <v/>
      </c>
      <c r="V19" s="236" t="str">
        <f>IF(U19="","",IF($I$8="A",(RANK(U19,U$11:U$355)+COUNTIF(U$11:U19,U19)-1),(RANK(U19,U$11:U$355,1)+COUNTIF(U$11:U19,U19)-1)))</f>
        <v/>
      </c>
      <c r="W19" s="237"/>
      <c r="X19" s="61" t="str">
        <f>IF(L19="","",VLOOKUP($L19,classifications!$C:$J,6,FALSE))</f>
        <v>Urban with City and Town</v>
      </c>
      <c r="Y19" s="49" t="str">
        <f t="shared" si="4"/>
        <v/>
      </c>
      <c r="Z19" s="57" t="str">
        <f>IF(Y19="","",IF(I$8="A",(RANK(Y19,Y$11:Y$355,1)+COUNTIF(Y$11:Y19,Y19)-1),(RANK(Y19,Y$11:Y$355)+COUNTIF(Y$11:Y19,Y19)-1)))</f>
        <v/>
      </c>
      <c r="AA19" s="242" t="str">
        <f>IF(L19="","",VLOOKUP($L19,classifications!C:I,7,FALSE))</f>
        <v>Predominantly Urban</v>
      </c>
      <c r="AB19" s="236" t="str">
        <f t="shared" si="14"/>
        <v/>
      </c>
      <c r="AC19" s="236" t="str">
        <f>IF(AB19="","",IF($I$8="A",(RANK(AB19,AB$11:AB$355)+COUNTIF(AB$11:AB19,AB19)-1),(RANK(AB19,AB$11:AB$355,1)+COUNTIF(AB$11:AB19,AB19)-1)))</f>
        <v/>
      </c>
      <c r="AD19" s="236"/>
      <c r="AE19" s="71" t="e">
        <f>IF(I$8="A",(RANK(AG19,AG$11:AG$355,1)+COUNTIF(AG$11:AG19,AG19)-1),(RANK(AG19,AG$11:AG$355)+COUNTIF(AG$11:AG19,AG19)-1))</f>
        <v>#N/A</v>
      </c>
      <c r="AF19" s="6" t="str">
        <f>VLOOKUP(Profile!$J$5,Families!$C:$R,9,FALSE)</f>
        <v>Newark &amp; Sherwood</v>
      </c>
      <c r="AG19" s="143">
        <f t="shared" si="15"/>
        <v>599.6</v>
      </c>
      <c r="AH19" s="72" t="e">
        <f t="shared" si="22"/>
        <v>#N/A</v>
      </c>
      <c r="AI19" s="61" t="str">
        <f>IF(L19="","",VLOOKUP($L19,classifications!$C:$J,8,FALSE))</f>
        <v>Oxfordshire</v>
      </c>
      <c r="AJ19" s="62" t="str">
        <f t="shared" si="5"/>
        <v/>
      </c>
      <c r="AK19" s="57" t="str">
        <f>IF(AJ19="","",IF(I$8="A",(RANK(AJ19,AJ$11:AJ$355,1)+COUNTIF(AJ$11:AJ19,AJ19)-1),(RANK(AJ19,AJ$11:AJ$355)+COUNTIF(AJ$11:AJ19,AJ19)-1)))</f>
        <v/>
      </c>
      <c r="AL19" s="52" t="str">
        <f t="shared" si="16"/>
        <v/>
      </c>
      <c r="AM19" s="31" t="str">
        <f t="shared" si="6"/>
        <v/>
      </c>
      <c r="AN19" s="31" t="str">
        <f t="shared" si="7"/>
        <v/>
      </c>
      <c r="AP19" s="61" t="str">
        <f>IF(L19="","",VLOOKUP($L19,classifications!$C:$E,3,FALSE))</f>
        <v>South East</v>
      </c>
      <c r="AQ19" s="62" t="str">
        <f t="shared" si="17"/>
        <v/>
      </c>
      <c r="AR19" s="57" t="str">
        <f>IF(AQ19="","",IF(I$8="A",(RANK(AQ19,AQ$11:AQ$355,1)+COUNTIF(AQ$11:AQ19,AQ19)-1),(RANK(AQ19,AQ$11:AQ$355)+COUNTIF(AQ$11:AQ19,AQ19)-1)))</f>
        <v/>
      </c>
      <c r="AS19" s="52">
        <f t="shared" si="18"/>
        <v>9</v>
      </c>
      <c r="AT19" s="57" t="str">
        <f t="shared" si="8"/>
        <v>Carlisle</v>
      </c>
      <c r="AU19" s="62">
        <f t="shared" si="9"/>
        <v>518.20000000000005</v>
      </c>
      <c r="AX19" s="44">
        <f>HLOOKUP($AX$9&amp;$AX$10,Data!$A$1:$ZZ$2000,(MATCH($C19,Data!$A$1:$A$2000,0)),FALSE)</f>
        <v>850</v>
      </c>
      <c r="AY19" s="156"/>
      <c r="AZ19" s="44"/>
    </row>
    <row r="20" spans="1:52">
      <c r="A20" s="84" t="str">
        <f>$D$1&amp;10</f>
        <v>SD10</v>
      </c>
      <c r="B20" s="85" t="str">
        <f>IF(ISERROR(VLOOKUP(A20,classifications!A:C,3,FALSE)),0,VLOOKUP(A20,classifications!A:C,3,FALSE))</f>
        <v>Craven</v>
      </c>
      <c r="C20" s="31" t="s">
        <v>196</v>
      </c>
      <c r="D20" s="49" t="str">
        <f>VLOOKUP($C20,classifications!$C:$J,4,FALSE)</f>
        <v>L</v>
      </c>
      <c r="E20" s="49">
        <f>VLOOKUP(C20,classifications!C:K,9,FALSE)</f>
        <v>0</v>
      </c>
      <c r="F20" s="59">
        <f t="shared" si="0"/>
        <v>670.1</v>
      </c>
      <c r="G20" s="105"/>
      <c r="H20" s="60" t="str">
        <f t="shared" si="1"/>
        <v/>
      </c>
      <c r="I20" s="112" t="str">
        <f>IF(H20="","",IF($I$8="A",(RANK(H20,H$11:H$355,1)+COUNTIF(H$11:H20,H20)-1),(RANK(H20,H$11:H$355)+COUNTIF(H$11:H20,H20)-1)))</f>
        <v/>
      </c>
      <c r="J20" s="58"/>
      <c r="K20" s="51">
        <f t="shared" si="10"/>
        <v>10</v>
      </c>
      <c r="L20" s="59" t="str">
        <f t="shared" si="2"/>
        <v>Derbyshire Dales</v>
      </c>
      <c r="M20" s="153">
        <f t="shared" si="3"/>
        <v>355.9</v>
      </c>
      <c r="N20" s="148">
        <f t="shared" si="23"/>
        <v>355.9</v>
      </c>
      <c r="O20" s="131">
        <f t="shared" si="11"/>
        <v>355.9</v>
      </c>
      <c r="P20" s="131" t="str">
        <f t="shared" si="19"/>
        <v/>
      </c>
      <c r="Q20" s="131" t="str">
        <f t="shared" si="20"/>
        <v/>
      </c>
      <c r="R20" s="127" t="str">
        <f t="shared" si="21"/>
        <v/>
      </c>
      <c r="S20" s="60" t="str">
        <f t="shared" si="12"/>
        <v/>
      </c>
      <c r="T20" s="228" t="str">
        <f>IF(L20="","",VLOOKUP(L20,classifications!C:K,9,FALSE))</f>
        <v>Sparse</v>
      </c>
      <c r="U20" s="235">
        <f t="shared" si="13"/>
        <v>355.9</v>
      </c>
      <c r="V20" s="236">
        <f>IF(U20="","",IF($I$8="A",(RANK(U20,U$11:U$355)+COUNTIF(U$11:U20,U20)-1),(RANK(U20,U$11:U$355,1)+COUNTIF(U$11:U20,U20)-1)))</f>
        <v>56</v>
      </c>
      <c r="W20" s="237"/>
      <c r="X20" s="61" t="str">
        <f>IF(L20="","",VLOOKUP($L20,classifications!$C:$J,6,FALSE))</f>
        <v xml:space="preserve">Mainly Rural (rural including hub towns &gt;=80%) </v>
      </c>
      <c r="Y20" s="49">
        <f t="shared" si="4"/>
        <v>355.9</v>
      </c>
      <c r="Z20" s="57">
        <f>IF(Y20="","",IF(I$8="A",(RANK(Y20,Y$11:Y$355,1)+COUNTIF(Y$11:Y20,Y20)-1),(RANK(Y20,Y$11:Y$355)+COUNTIF(Y$11:Y20,Y20)-1)))</f>
        <v>3</v>
      </c>
      <c r="AA20" s="242" t="str">
        <f>IF(L20="","",VLOOKUP($L20,classifications!C:I,7,FALSE))</f>
        <v>Predominantly Rural</v>
      </c>
      <c r="AB20" s="236">
        <f t="shared" si="14"/>
        <v>355.9</v>
      </c>
      <c r="AC20" s="236">
        <f>IF(AB20="","",IF($I$8="A",(RANK(AB20,AB$11:AB$355)+COUNTIF(AB$11:AB20,AB20)-1),(RANK(AB20,AB$11:AB$355,1)+COUNTIF(AB$11:AB20,AB20)-1)))</f>
        <v>65</v>
      </c>
      <c r="AD20" s="236"/>
      <c r="AE20" s="71" t="e">
        <f>IF(I$8="A",(RANK(AG20,AG$11:AG$355,1)+COUNTIF(AG$11:AG20,AG20)-1),(RANK(AG20,AG$11:AG$355)+COUNTIF(AG$11:AG20,AG20)-1))</f>
        <v>#N/A</v>
      </c>
      <c r="AF20" s="6" t="str">
        <f>VLOOKUP(Profile!$J$5,Families!$C:$R,10,FALSE)</f>
        <v>Amber Valley</v>
      </c>
      <c r="AG20" s="143">
        <f t="shared" si="15"/>
        <v>579.70000000000005</v>
      </c>
      <c r="AH20" s="72" t="e">
        <f t="shared" si="22"/>
        <v>#N/A</v>
      </c>
      <c r="AI20" s="61" t="str">
        <f>IF(L20="","",VLOOKUP($L20,classifications!$C:$J,8,FALSE))</f>
        <v>Derbyshire</v>
      </c>
      <c r="AJ20" s="62" t="str">
        <f t="shared" si="5"/>
        <v/>
      </c>
      <c r="AK20" s="57" t="str">
        <f>IF(AJ20="","",IF(I$8="A",(RANK(AJ20,AJ$11:AJ$355,1)+COUNTIF(AJ$11:AJ20,AJ20)-1),(RANK(AJ20,AJ$11:AJ$355)+COUNTIF(AJ$11:AJ20,AJ20)-1)))</f>
        <v/>
      </c>
      <c r="AL20" s="52" t="str">
        <f t="shared" si="16"/>
        <v/>
      </c>
      <c r="AM20" s="31" t="str">
        <f t="shared" si="6"/>
        <v/>
      </c>
      <c r="AN20" s="31" t="str">
        <f t="shared" si="7"/>
        <v/>
      </c>
      <c r="AP20" s="61" t="str">
        <f>IF(L20="","",VLOOKUP($L20,classifications!$C:$E,3,FALSE))</f>
        <v>East Midlands</v>
      </c>
      <c r="AQ20" s="62" t="str">
        <f t="shared" si="17"/>
        <v/>
      </c>
      <c r="AR20" s="57" t="str">
        <f>IF(AQ20="","",IF(I$8="A",(RANK(AQ20,AQ$11:AQ$355,1)+COUNTIF(AQ$11:AQ20,AQ20)-1),(RANK(AQ20,AQ$11:AQ$355)+COUNTIF(AQ$11:AQ20,AQ20)-1)))</f>
        <v/>
      </c>
      <c r="AS20" s="52">
        <f t="shared" si="18"/>
        <v>10</v>
      </c>
      <c r="AT20" s="57" t="str">
        <f t="shared" si="8"/>
        <v>Rossendale</v>
      </c>
      <c r="AU20" s="62">
        <f t="shared" si="9"/>
        <v>524</v>
      </c>
      <c r="AX20" s="44">
        <f>HLOOKUP($AX$9&amp;$AX$10,Data!$A$1:$ZZ$2000,(MATCH($C20,Data!$A$1:$A$2000,0)),FALSE)</f>
        <v>670.1</v>
      </c>
      <c r="AY20" s="156"/>
      <c r="AZ20" s="44"/>
    </row>
    <row r="21" spans="1:52">
      <c r="A21" s="84" t="str">
        <f>$D$1&amp;11</f>
        <v>SD11</v>
      </c>
      <c r="B21" s="85" t="str">
        <f>IF(ISERROR(VLOOKUP(A21,classifications!A:C,3,FALSE)),0,VLOOKUP(A21,classifications!A:C,3,FALSE))</f>
        <v>Daventry</v>
      </c>
      <c r="C21" s="31" t="s">
        <v>222</v>
      </c>
      <c r="D21" s="49" t="str">
        <f>VLOOKUP($C21,classifications!$C:$J,4,FALSE)</f>
        <v>MD</v>
      </c>
      <c r="E21" s="49">
        <f>VLOOKUP(C21,classifications!C:K,9,FALSE)</f>
        <v>0</v>
      </c>
      <c r="F21" s="59">
        <f t="shared" si="0"/>
        <v>537.79999999999995</v>
      </c>
      <c r="G21" s="105"/>
      <c r="H21" s="60" t="str">
        <f t="shared" si="1"/>
        <v/>
      </c>
      <c r="I21" s="112" t="str">
        <f>IF(H21="","",IF($I$8="A",(RANK(H21,H$11:H$355,1)+COUNTIF(H$11:H21,H21)-1),(RANK(H21,H$11:H$355)+COUNTIF(H$11:H21,H21)-1)))</f>
        <v/>
      </c>
      <c r="J21" s="58"/>
      <c r="K21" s="51">
        <f t="shared" si="10"/>
        <v>11</v>
      </c>
      <c r="L21" s="59" t="str">
        <f t="shared" si="2"/>
        <v>South Hams</v>
      </c>
      <c r="M21" s="153">
        <f t="shared" si="3"/>
        <v>357.6</v>
      </c>
      <c r="N21" s="148">
        <f t="shared" si="23"/>
        <v>357.6</v>
      </c>
      <c r="O21" s="131">
        <f t="shared" si="11"/>
        <v>357.6</v>
      </c>
      <c r="P21" s="131" t="str">
        <f t="shared" si="19"/>
        <v/>
      </c>
      <c r="Q21" s="131" t="str">
        <f t="shared" si="20"/>
        <v/>
      </c>
      <c r="R21" s="127" t="str">
        <f t="shared" si="21"/>
        <v/>
      </c>
      <c r="S21" s="60" t="str">
        <f t="shared" si="12"/>
        <v/>
      </c>
      <c r="T21" s="228" t="str">
        <f>IF(L21="","",VLOOKUP(L21,classifications!C:K,9,FALSE))</f>
        <v>Sparse</v>
      </c>
      <c r="U21" s="235">
        <f t="shared" si="13"/>
        <v>357.6</v>
      </c>
      <c r="V21" s="236">
        <f>IF(U21="","",IF($I$8="A",(RANK(U21,U$11:U$355)+COUNTIF(U$11:U21,U21)-1),(RANK(U21,U$11:U$355,1)+COUNTIF(U$11:U21,U21)-1)))</f>
        <v>55</v>
      </c>
      <c r="W21" s="237"/>
      <c r="X21" s="61" t="str">
        <f>IF(L21="","",VLOOKUP($L21,classifications!$C:$J,6,FALSE))</f>
        <v xml:space="preserve">Mainly Rural (rural including hub towns &gt;=80%) </v>
      </c>
      <c r="Y21" s="49">
        <f t="shared" si="4"/>
        <v>357.6</v>
      </c>
      <c r="Z21" s="57">
        <f>IF(Y21="","",IF(I$8="A",(RANK(Y21,Y$11:Y$355,1)+COUNTIF(Y$11:Y21,Y21)-1),(RANK(Y21,Y$11:Y$355)+COUNTIF(Y$11:Y21,Y21)-1)))</f>
        <v>4</v>
      </c>
      <c r="AA21" s="242" t="str">
        <f>IF(L21="","",VLOOKUP($L21,classifications!C:I,7,FALSE))</f>
        <v>Predominantly Rural</v>
      </c>
      <c r="AB21" s="236">
        <f t="shared" si="14"/>
        <v>357.6</v>
      </c>
      <c r="AC21" s="236">
        <f>IF(AB21="","",IF($I$8="A",(RANK(AB21,AB$11:AB$355)+COUNTIF(AB$11:AB21,AB21)-1),(RANK(AB21,AB$11:AB$355,1)+COUNTIF(AB$11:AB21,AB21)-1)))</f>
        <v>64</v>
      </c>
      <c r="AD21" s="236"/>
      <c r="AE21" s="71" t="e">
        <f>IF(I$8="A",(RANK(AG21,AG$11:AG$355,1)+COUNTIF(AG$11:AG21,AG21)-1),(RANK(AG21,AG$11:AG$355)+COUNTIF(AG$11:AG21,AG21)-1))</f>
        <v>#N/A</v>
      </c>
      <c r="AF21" s="6" t="str">
        <f>VLOOKUP(Profile!$J$5,Families!$C:$R,11,FALSE)</f>
        <v>Copeland</v>
      </c>
      <c r="AG21" s="143">
        <f t="shared" si="15"/>
        <v>538.79999999999995</v>
      </c>
      <c r="AH21" s="72" t="e">
        <f t="shared" si="22"/>
        <v>#N/A</v>
      </c>
      <c r="AI21" s="61" t="str">
        <f>IF(L21="","",VLOOKUP($L21,classifications!$C:$J,8,FALSE))</f>
        <v>Devon</v>
      </c>
      <c r="AJ21" s="62" t="str">
        <f t="shared" si="5"/>
        <v/>
      </c>
      <c r="AK21" s="57" t="str">
        <f>IF(AJ21="","",IF(I$8="A",(RANK(AJ21,AJ$11:AJ$355,1)+COUNTIF(AJ$11:AJ21,AJ21)-1),(RANK(AJ21,AJ$11:AJ$355)+COUNTIF(AJ$11:AJ21,AJ21)-1)))</f>
        <v/>
      </c>
      <c r="AL21" s="52" t="str">
        <f t="shared" si="16"/>
        <v/>
      </c>
      <c r="AM21" s="31" t="str">
        <f t="shared" si="6"/>
        <v/>
      </c>
      <c r="AN21" s="31" t="str">
        <f t="shared" si="7"/>
        <v/>
      </c>
      <c r="AP21" s="61" t="str">
        <f>IF(L21="","",VLOOKUP($L21,classifications!$C:$E,3,FALSE))</f>
        <v>South West</v>
      </c>
      <c r="AQ21" s="62" t="str">
        <f t="shared" si="17"/>
        <v/>
      </c>
      <c r="AR21" s="57" t="str">
        <f>IF(AQ21="","",IF(I$8="A",(RANK(AQ21,AQ$11:AQ$355,1)+COUNTIF(AQ$11:AQ21,AQ21)-1),(RANK(AQ21,AQ$11:AQ$355)+COUNTIF(AQ$11:AQ21,AQ21)-1)))</f>
        <v/>
      </c>
      <c r="AS21" s="52">
        <f t="shared" si="18"/>
        <v>11</v>
      </c>
      <c r="AT21" s="57" t="str">
        <f t="shared" si="8"/>
        <v>Chorley</v>
      </c>
      <c r="AU21" s="62">
        <f t="shared" si="9"/>
        <v>524.29999999999995</v>
      </c>
      <c r="AX21" s="44">
        <f>HLOOKUP($AX$9&amp;$AX$10,Data!$A$1:$ZZ$2000,(MATCH($C21,Data!$A$1:$A$2000,0)),FALSE)</f>
        <v>537.79999999999995</v>
      </c>
      <c r="AY21" s="156"/>
      <c r="AZ21" s="44"/>
    </row>
    <row r="22" spans="1:52">
      <c r="A22" s="84" t="str">
        <f>$D$1&amp;12</f>
        <v>SD12</v>
      </c>
      <c r="B22" s="85" t="str">
        <f>IF(ISERROR(VLOOKUP(A22,classifications!A:C,3,FALSE)),0,VLOOKUP(A22,classifications!A:C,3,FALSE))</f>
        <v>Derbyshire Dales</v>
      </c>
      <c r="C22" s="31" t="s">
        <v>13</v>
      </c>
      <c r="D22" s="49" t="str">
        <f>VLOOKUP($C22,classifications!$C:$J,4,FALSE)</f>
        <v>SD</v>
      </c>
      <c r="E22" s="49">
        <f>VLOOKUP(C22,classifications!C:K,9,FALSE)</f>
        <v>0</v>
      </c>
      <c r="F22" s="59">
        <f t="shared" si="0"/>
        <v>640</v>
      </c>
      <c r="G22" s="105"/>
      <c r="H22" s="60">
        <f t="shared" si="1"/>
        <v>640</v>
      </c>
      <c r="I22" s="112">
        <f>IF(H22="","",IF($I$8="A",(RANK(H22,H$11:H$355,1)+COUNTIF(H$11:H22,H22)-1),(RANK(H22,H$11:H$355)+COUNTIF(H$11:H22,H22)-1)))</f>
        <v>177</v>
      </c>
      <c r="J22" s="58"/>
      <c r="K22" s="51">
        <f t="shared" si="10"/>
        <v>12</v>
      </c>
      <c r="L22" s="59" t="str">
        <f t="shared" si="2"/>
        <v>Torridge</v>
      </c>
      <c r="M22" s="153">
        <f t="shared" si="3"/>
        <v>358.4</v>
      </c>
      <c r="N22" s="148">
        <f t="shared" si="23"/>
        <v>358.4</v>
      </c>
      <c r="O22" s="131">
        <f t="shared" si="11"/>
        <v>358.4</v>
      </c>
      <c r="P22" s="131" t="str">
        <f t="shared" si="19"/>
        <v/>
      </c>
      <c r="Q22" s="131" t="str">
        <f t="shared" si="20"/>
        <v/>
      </c>
      <c r="R22" s="127" t="str">
        <f t="shared" si="21"/>
        <v/>
      </c>
      <c r="S22" s="60" t="str">
        <f t="shared" si="12"/>
        <v/>
      </c>
      <c r="T22" s="228" t="str">
        <f>IF(L22="","",VLOOKUP(L22,classifications!C:K,9,FALSE))</f>
        <v>Sparse</v>
      </c>
      <c r="U22" s="235">
        <f t="shared" si="13"/>
        <v>358.4</v>
      </c>
      <c r="V22" s="236">
        <f>IF(U22="","",IF($I$8="A",(RANK(U22,U$11:U$355)+COUNTIF(U$11:U22,U22)-1),(RANK(U22,U$11:U$355,1)+COUNTIF(U$11:U22,U22)-1)))</f>
        <v>54</v>
      </c>
      <c r="W22" s="237"/>
      <c r="X22" s="61" t="str">
        <f>IF(L22="","",VLOOKUP($L22,classifications!$C:$J,6,FALSE))</f>
        <v xml:space="preserve">Mainly Rural (rural including hub towns &gt;=80%) </v>
      </c>
      <c r="Y22" s="49">
        <f t="shared" si="4"/>
        <v>358.4</v>
      </c>
      <c r="Z22" s="57">
        <f>IF(Y22="","",IF(I$8="A",(RANK(Y22,Y$11:Y$355,1)+COUNTIF(Y$11:Y22,Y22)-1),(RANK(Y22,Y$11:Y$355)+COUNTIF(Y$11:Y22,Y22)-1)))</f>
        <v>5</v>
      </c>
      <c r="AA22" s="242" t="str">
        <f>IF(L22="","",VLOOKUP($L22,classifications!C:I,7,FALSE))</f>
        <v>Predominantly Rural</v>
      </c>
      <c r="AB22" s="236">
        <f t="shared" si="14"/>
        <v>358.4</v>
      </c>
      <c r="AC22" s="236">
        <f>IF(AB22="","",IF($I$8="A",(RANK(AB22,AB$11:AB$355)+COUNTIF(AB$11:AB22,AB22)-1),(RANK(AB22,AB$11:AB$355,1)+COUNTIF(AB$11:AB22,AB22)-1)))</f>
        <v>63</v>
      </c>
      <c r="AD22" s="236"/>
      <c r="AE22" s="71" t="e">
        <f>IF(I$8="A",(RANK(AG22,AG$11:AG$355,1)+COUNTIF(AG$11:AG22,AG22)-1),(RANK(AG22,AG$11:AG$355)+COUNTIF(AG$11:AG22,AG22)-1))</f>
        <v>#N/A</v>
      </c>
      <c r="AF22" s="6" t="str">
        <f>VLOOKUP(Profile!$J$5,Families!$C:$R,12,FALSE)</f>
        <v>Newcastle-under-Lyme</v>
      </c>
      <c r="AG22" s="143">
        <f t="shared" si="15"/>
        <v>495.7</v>
      </c>
      <c r="AH22" s="72" t="e">
        <f t="shared" si="22"/>
        <v>#N/A</v>
      </c>
      <c r="AI22" s="61" t="str">
        <f>IF(L22="","",VLOOKUP($L22,classifications!$C:$J,8,FALSE))</f>
        <v>Devon</v>
      </c>
      <c r="AJ22" s="62" t="str">
        <f t="shared" si="5"/>
        <v/>
      </c>
      <c r="AK22" s="57" t="str">
        <f>IF(AJ22="","",IF(I$8="A",(RANK(AJ22,AJ$11:AJ$355,1)+COUNTIF(AJ$11:AJ22,AJ22)-1),(RANK(AJ22,AJ$11:AJ$355)+COUNTIF(AJ$11:AJ22,AJ22)-1)))</f>
        <v/>
      </c>
      <c r="AL22" s="52" t="str">
        <f t="shared" si="16"/>
        <v/>
      </c>
      <c r="AM22" s="31" t="str">
        <f t="shared" si="6"/>
        <v/>
      </c>
      <c r="AN22" s="31" t="str">
        <f t="shared" si="7"/>
        <v/>
      </c>
      <c r="AP22" s="61" t="str">
        <f>IF(L22="","",VLOOKUP($L22,classifications!$C:$E,3,FALSE))</f>
        <v>South West</v>
      </c>
      <c r="AQ22" s="62" t="str">
        <f t="shared" si="17"/>
        <v/>
      </c>
      <c r="AR22" s="57" t="str">
        <f>IF(AQ22="","",IF(I$8="A",(RANK(AQ22,AQ$11:AQ$355,1)+COUNTIF(AQ$11:AQ22,AQ22)-1),(RANK(AQ22,AQ$11:AQ$355)+COUNTIF(AQ$11:AQ22,AQ22)-1)))</f>
        <v/>
      </c>
      <c r="AS22" s="52">
        <f t="shared" si="18"/>
        <v>12</v>
      </c>
      <c r="AT22" s="57" t="str">
        <f t="shared" si="8"/>
        <v>Burnley</v>
      </c>
      <c r="AU22" s="62">
        <f t="shared" si="9"/>
        <v>525</v>
      </c>
      <c r="AX22" s="44">
        <f>HLOOKUP($AX$9&amp;$AX$10,Data!$A$1:$ZZ$2000,(MATCH($C22,Data!$A$1:$A$2000,0)),FALSE)</f>
        <v>640</v>
      </c>
      <c r="AY22" s="156"/>
      <c r="AZ22" s="44"/>
    </row>
    <row r="23" spans="1:52">
      <c r="A23" s="84" t="str">
        <f>$D$1&amp;13</f>
        <v>SD13</v>
      </c>
      <c r="B23" s="85" t="str">
        <f>IF(ISERROR(VLOOKUP(A23,classifications!A:C,3,FALSE)),0,VLOOKUP(A23,classifications!A:C,3,FALSE))</f>
        <v>East Cambridgeshire</v>
      </c>
      <c r="C23" s="31" t="s">
        <v>14</v>
      </c>
      <c r="D23" s="49" t="str">
        <f>VLOOKUP($C23,classifications!$C:$J,4,FALSE)</f>
        <v>SD</v>
      </c>
      <c r="E23" s="49">
        <f>VLOOKUP(C23,classifications!C:K,9,FALSE)</f>
        <v>0</v>
      </c>
      <c r="F23" s="59">
        <f t="shared" si="0"/>
        <v>574.6</v>
      </c>
      <c r="G23" s="105"/>
      <c r="H23" s="60">
        <f t="shared" si="1"/>
        <v>574.6</v>
      </c>
      <c r="I23" s="112">
        <f>IF(H23="","",IF($I$8="A",(RANK(H23,H$11:H$355,1)+COUNTIF(H$11:H23,H23)-1),(RANK(H23,H$11:H$355)+COUNTIF(H$11:H23,H23)-1)))</f>
        <v>159</v>
      </c>
      <c r="J23" s="58"/>
      <c r="K23" s="51">
        <f t="shared" si="10"/>
        <v>13</v>
      </c>
      <c r="L23" s="59" t="str">
        <f t="shared" si="2"/>
        <v>Surrey Heath</v>
      </c>
      <c r="M23" s="153">
        <f t="shared" si="3"/>
        <v>364.9</v>
      </c>
      <c r="N23" s="148">
        <f t="shared" si="23"/>
        <v>364.9</v>
      </c>
      <c r="O23" s="131">
        <f t="shared" si="11"/>
        <v>364.9</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t="str">
        <f>IF(L23="","",VLOOKUP($L23,classifications!$C:$J,6,FALSE))</f>
        <v>Urban with City and Town</v>
      </c>
      <c r="Y23" s="49" t="str">
        <f t="shared" si="4"/>
        <v/>
      </c>
      <c r="Z23" s="57" t="str">
        <f>IF(Y23="","",IF(I$8="A",(RANK(Y23,Y$11:Y$355,1)+COUNTIF(Y$11:Y23,Y23)-1),(RANK(Y23,Y$11:Y$355)+COUNTIF(Y$11:Y23,Y23)-1)))</f>
        <v/>
      </c>
      <c r="AA23" s="242" t="str">
        <f>IF(L23="","",VLOOKUP($L23,classifications!C:I,7,FALSE))</f>
        <v>Predominantly Urban</v>
      </c>
      <c r="AB23" s="236" t="str">
        <f t="shared" si="14"/>
        <v/>
      </c>
      <c r="AC23" s="236" t="str">
        <f>IF(AB23="","",IF($I$8="A",(RANK(AB23,AB$11:AB$355)+COUNTIF(AB$11:AB23,AB23)-1),(RANK(AB23,AB$11:AB$355,1)+COUNTIF(AB$11:AB23,AB23)-1)))</f>
        <v/>
      </c>
      <c r="AD23" s="236"/>
      <c r="AE23" s="71" t="e">
        <f>IF(I$8="A",(RANK(AG23,AG$11:AG$355,1)+COUNTIF(AG$11:AG23,AG23)-1),(RANK(AG23,AG$11:AG$355)+COUNTIF(AG$11:AG23,AG23)-1))</f>
        <v>#N/A</v>
      </c>
      <c r="AF23" s="6" t="str">
        <f>VLOOKUP(Profile!$J$5,Families!$C:$R,13,FALSE)</f>
        <v>Wyre Forest</v>
      </c>
      <c r="AG23" s="143">
        <f t="shared" si="15"/>
        <v>565.29999999999995</v>
      </c>
      <c r="AH23" s="72" t="e">
        <f t="shared" si="22"/>
        <v>#N/A</v>
      </c>
      <c r="AI23" s="61" t="str">
        <f>IF(L23="","",VLOOKUP($L23,classifications!$C:$J,8,FALSE))</f>
        <v>Surrey</v>
      </c>
      <c r="AJ23" s="62" t="str">
        <f t="shared" si="5"/>
        <v/>
      </c>
      <c r="AK23" s="57" t="str">
        <f>IF(AJ23="","",IF(I$8="A",(RANK(AJ23,AJ$11:AJ$355,1)+COUNTIF(AJ$11:AJ23,AJ23)-1),(RANK(AJ23,AJ$11:AJ$355)+COUNTIF(AJ$11:AJ23,AJ23)-1)))</f>
        <v/>
      </c>
      <c r="AL23" s="52" t="str">
        <f t="shared" si="16"/>
        <v/>
      </c>
      <c r="AM23" s="31" t="str">
        <f t="shared" si="6"/>
        <v/>
      </c>
      <c r="AN23" s="31" t="str">
        <f t="shared" si="7"/>
        <v/>
      </c>
      <c r="AP23" s="61" t="str">
        <f>IF(L23="","",VLOOKUP($L23,classifications!$C:$E,3,FALSE))</f>
        <v>South East</v>
      </c>
      <c r="AQ23" s="62" t="str">
        <f t="shared" si="17"/>
        <v/>
      </c>
      <c r="AR23" s="57" t="str">
        <f>IF(AQ23="","",IF(I$8="A",(RANK(AQ23,AQ$11:AQ$355,1)+COUNTIF(AQ$11:AQ23,AQ23)-1),(RANK(AQ23,AQ$11:AQ$355)+COUNTIF(AQ$11:AQ23,AQ23)-1)))</f>
        <v/>
      </c>
      <c r="AS23" s="52">
        <f t="shared" si="18"/>
        <v>13</v>
      </c>
      <c r="AT23" s="57" t="str">
        <f t="shared" si="8"/>
        <v>Copeland</v>
      </c>
      <c r="AU23" s="62">
        <f t="shared" si="9"/>
        <v>538.79999999999995</v>
      </c>
      <c r="AX23" s="44">
        <f>HLOOKUP($AX$9&amp;$AX$10,Data!$A$1:$ZZ$2000,(MATCH($C23,Data!$A$1:$A$2000,0)),FALSE)</f>
        <v>574.6</v>
      </c>
      <c r="AY23" s="156"/>
      <c r="AZ23" s="44"/>
    </row>
    <row r="24" spans="1:52">
      <c r="A24" s="84" t="str">
        <f>$D$1&amp;14</f>
        <v>SD14</v>
      </c>
      <c r="B24" s="85" t="str">
        <f>IF(ISERROR(VLOOKUP(A24,classifications!A:C,3,FALSE)),0,VLOOKUP(A24,classifications!A:C,3,FALSE))</f>
        <v>East Devon</v>
      </c>
      <c r="C24" s="31" t="s">
        <v>342</v>
      </c>
      <c r="D24" s="49" t="str">
        <f>VLOOKUP($C24,classifications!$C:$J,4,FALSE)</f>
        <v>SD</v>
      </c>
      <c r="E24" s="49">
        <f>VLOOKUP(C24,classifications!C:K,9,FALSE)</f>
        <v>0</v>
      </c>
      <c r="F24" s="59">
        <f t="shared" si="0"/>
        <v>573.29999999999995</v>
      </c>
      <c r="G24" s="105"/>
      <c r="H24" s="60">
        <f t="shared" si="1"/>
        <v>573.29999999999995</v>
      </c>
      <c r="I24" s="112">
        <f>IF(H24="","",IF($I$8="A",(RANK(H24,H$11:H$355,1)+COUNTIF(H$11:H24,H24)-1),(RANK(H24,H$11:H$355)+COUNTIF(H$11:H24,H24)-1)))</f>
        <v>158</v>
      </c>
      <c r="J24" s="58"/>
      <c r="K24" s="51">
        <f t="shared" si="10"/>
        <v>14</v>
      </c>
      <c r="L24" s="59" t="str">
        <f t="shared" si="2"/>
        <v>Teignbridge</v>
      </c>
      <c r="M24" s="153">
        <f t="shared" si="3"/>
        <v>369.6</v>
      </c>
      <c r="N24" s="148">
        <f t="shared" si="23"/>
        <v>369.6</v>
      </c>
      <c r="O24" s="131">
        <f t="shared" si="11"/>
        <v>369.6</v>
      </c>
      <c r="P24" s="131" t="str">
        <f t="shared" si="19"/>
        <v/>
      </c>
      <c r="Q24" s="131" t="str">
        <f t="shared" si="20"/>
        <v/>
      </c>
      <c r="R24" s="127" t="str">
        <f t="shared" si="21"/>
        <v/>
      </c>
      <c r="S24" s="60" t="str">
        <f t="shared" si="12"/>
        <v/>
      </c>
      <c r="T24" s="228" t="str">
        <f>IF(L24="","",VLOOKUP(L24,classifications!C:K,9,FALSE))</f>
        <v>Sparse</v>
      </c>
      <c r="U24" s="235">
        <f t="shared" si="13"/>
        <v>369.6</v>
      </c>
      <c r="V24" s="236">
        <f>IF(U24="","",IF($I$8="A",(RANK(U24,U$11:U$355)+COUNTIF(U$11:U24,U24)-1),(RANK(U24,U$11:U$355,1)+COUNTIF(U$11:U24,U24)-1)))</f>
        <v>53</v>
      </c>
      <c r="W24" s="237"/>
      <c r="X24" s="61" t="str">
        <f>IF(L24="","",VLOOKUP($L24,classifications!$C:$J,6,FALSE))</f>
        <v xml:space="preserve">Largely Rural (rural including hub towns 50-79%) </v>
      </c>
      <c r="Y24" s="49" t="str">
        <f t="shared" si="4"/>
        <v/>
      </c>
      <c r="Z24" s="57" t="str">
        <f>IF(Y24="","",IF(I$8="A",(RANK(Y24,Y$11:Y$355,1)+COUNTIF(Y$11:Y24,Y24)-1),(RANK(Y24,Y$11:Y$355)+COUNTIF(Y$11:Y24,Y24)-1)))</f>
        <v/>
      </c>
      <c r="AA24" s="242" t="str">
        <f>IF(L24="","",VLOOKUP($L24,classifications!C:I,7,FALSE))</f>
        <v>Predominantly Rural</v>
      </c>
      <c r="AB24" s="236">
        <f t="shared" si="14"/>
        <v>369.6</v>
      </c>
      <c r="AC24" s="236">
        <f>IF(AB24="","",IF($I$8="A",(RANK(AB24,AB$11:AB$355)+COUNTIF(AB$11:AB24,AB24)-1),(RANK(AB24,AB$11:AB$355,1)+COUNTIF(AB$11:AB24,AB24)-1)))</f>
        <v>62</v>
      </c>
      <c r="AD24" s="236"/>
      <c r="AE24" s="71" t="e">
        <f>IF(I$8="A",(RANK(AG24,AG$11:AG$355,1)+COUNTIF(AG$11:AG24,AG24)-1),(RANK(AG24,AG$11:AG$355)+COUNTIF(AG$11:AG24,AG24)-1))</f>
        <v>#N/A</v>
      </c>
      <c r="AF24" s="6" t="str">
        <f>VLOOKUP(Profile!$J$5,Families!$C:$R,14,FALSE)</f>
        <v>North East Derbyshire</v>
      </c>
      <c r="AG24" s="143">
        <f t="shared" si="15"/>
        <v>539.20000000000005</v>
      </c>
      <c r="AH24" s="72" t="e">
        <f t="shared" si="22"/>
        <v>#N/A</v>
      </c>
      <c r="AI24" s="61" t="str">
        <f>IF(L24="","",VLOOKUP($L24,classifications!$C:$J,8,FALSE))</f>
        <v>Devon</v>
      </c>
      <c r="AJ24" s="62" t="str">
        <f t="shared" si="5"/>
        <v/>
      </c>
      <c r="AK24" s="57" t="str">
        <f>IF(AJ24="","",IF(I$8="A",(RANK(AJ24,AJ$11:AJ$355,1)+COUNTIF(AJ$11:AJ24,AJ24)-1),(RANK(AJ24,AJ$11:AJ$355)+COUNTIF(AJ$11:AJ24,AJ24)-1)))</f>
        <v/>
      </c>
      <c r="AL24" s="52" t="str">
        <f t="shared" si="16"/>
        <v/>
      </c>
      <c r="AM24" s="31" t="str">
        <f t="shared" si="6"/>
        <v/>
      </c>
      <c r="AN24" s="31" t="str">
        <f t="shared" si="7"/>
        <v/>
      </c>
      <c r="AP24" s="61" t="str">
        <f>IF(L24="","",VLOOKUP($L24,classifications!$C:$E,3,FALSE))</f>
        <v>South West</v>
      </c>
      <c r="AQ24" s="62" t="str">
        <f t="shared" si="17"/>
        <v/>
      </c>
      <c r="AR24" s="57" t="str">
        <f>IF(AQ24="","",IF(I$8="A",(RANK(AQ24,AQ$11:AQ$355,1)+COUNTIF(AQ$11:AQ24,AQ24)-1),(RANK(AQ24,AQ$11:AQ$355)+COUNTIF(AQ$11:AQ24,AQ24)-1)))</f>
        <v/>
      </c>
      <c r="AS24" s="52">
        <f t="shared" si="18"/>
        <v>14</v>
      </c>
      <c r="AT24" s="57" t="str">
        <f t="shared" si="8"/>
        <v>Allerdale</v>
      </c>
      <c r="AU24" s="62">
        <f t="shared" si="9"/>
        <v>560.1</v>
      </c>
      <c r="AX24" s="44">
        <f>HLOOKUP($AX$9&amp;$AX$10,Data!$A$1:$ZZ$2000,(MATCH($C24,Data!$A$1:$A$2000,0)),FALSE)</f>
        <v>573.29999999999995</v>
      </c>
      <c r="AY24" s="156"/>
      <c r="AZ24" s="44"/>
    </row>
    <row r="25" spans="1:52">
      <c r="A25" s="84" t="str">
        <f>$D$1&amp;15</f>
        <v>SD15</v>
      </c>
      <c r="B25" s="85" t="str">
        <f>IF(ISERROR(VLOOKUP(A25,classifications!A:C,3,FALSE)),0,VLOOKUP(A25,classifications!A:C,3,FALSE))</f>
        <v>East Hertfordshire</v>
      </c>
      <c r="C25" s="31" t="s">
        <v>15</v>
      </c>
      <c r="D25" s="49" t="str">
        <f>VLOOKUP($C25,classifications!$C:$J,4,FALSE)</f>
        <v>SD</v>
      </c>
      <c r="E25" s="49">
        <f>VLOOKUP(C25,classifications!C:K,9,FALSE)</f>
        <v>0</v>
      </c>
      <c r="F25" s="59">
        <f t="shared" si="0"/>
        <v>678.2</v>
      </c>
      <c r="G25" s="105"/>
      <c r="H25" s="60">
        <f t="shared" si="1"/>
        <v>678.2</v>
      </c>
      <c r="I25" s="112">
        <f>IF(H25="","",IF($I$8="A",(RANK(H25,H$11:H$355,1)+COUNTIF(H$11:H25,H25)-1),(RANK(H25,H$11:H$355)+COUNTIF(H$11:H25,H25)-1)))</f>
        <v>179</v>
      </c>
      <c r="J25" s="58"/>
      <c r="K25" s="51">
        <f t="shared" si="10"/>
        <v>15</v>
      </c>
      <c r="L25" s="59" t="str">
        <f t="shared" si="2"/>
        <v>Cotswold</v>
      </c>
      <c r="M25" s="153">
        <f t="shared" si="3"/>
        <v>373.4</v>
      </c>
      <c r="N25" s="148">
        <f t="shared" si="23"/>
        <v>373.4</v>
      </c>
      <c r="O25" s="131">
        <f t="shared" si="11"/>
        <v>373.4</v>
      </c>
      <c r="P25" s="131" t="str">
        <f t="shared" si="19"/>
        <v/>
      </c>
      <c r="Q25" s="131" t="str">
        <f t="shared" si="20"/>
        <v/>
      </c>
      <c r="R25" s="127" t="str">
        <f t="shared" si="21"/>
        <v/>
      </c>
      <c r="S25" s="60" t="str">
        <f t="shared" si="12"/>
        <v/>
      </c>
      <c r="T25" s="228" t="str">
        <f>IF(L25="","",VLOOKUP(L25,classifications!C:K,9,FALSE))</f>
        <v>Sparse</v>
      </c>
      <c r="U25" s="235">
        <f t="shared" si="13"/>
        <v>373.4</v>
      </c>
      <c r="V25" s="236">
        <f>IF(U25="","",IF($I$8="A",(RANK(U25,U$11:U$355)+COUNTIF(U$11:U25,U25)-1),(RANK(U25,U$11:U$355,1)+COUNTIF(U$11:U25,U25)-1)))</f>
        <v>52</v>
      </c>
      <c r="W25" s="237"/>
      <c r="X25" s="61" t="str">
        <f>IF(L25="","",VLOOKUP($L25,classifications!$C:$J,6,FALSE))</f>
        <v xml:space="preserve">Mainly Rural (rural including hub towns &gt;=80%) </v>
      </c>
      <c r="Y25" s="49">
        <f t="shared" si="4"/>
        <v>373.4</v>
      </c>
      <c r="Z25" s="57">
        <f>IF(Y25="","",IF(I$8="A",(RANK(Y25,Y$11:Y$355,1)+COUNTIF(Y$11:Y25,Y25)-1),(RANK(Y25,Y$11:Y$355)+COUNTIF(Y$11:Y25,Y25)-1)))</f>
        <v>6</v>
      </c>
      <c r="AA25" s="242" t="str">
        <f>IF(L25="","",VLOOKUP($L25,classifications!C:I,7,FALSE))</f>
        <v>Predominantly Rural</v>
      </c>
      <c r="AB25" s="236">
        <f t="shared" si="14"/>
        <v>373.4</v>
      </c>
      <c r="AC25" s="236">
        <f>IF(AB25="","",IF($I$8="A",(RANK(AB25,AB$11:AB$355)+COUNTIF(AB$11:AB25,AB25)-1),(RANK(AB25,AB$11:AB$355,1)+COUNTIF(AB$11:AB25,AB25)-1)))</f>
        <v>61</v>
      </c>
      <c r="AD25" s="236"/>
      <c r="AE25" s="71" t="e">
        <f>IF(I$8="A",(RANK(AG25,AG$11:AG$355,1)+COUNTIF(AG$11:AG25,AG25)-1),(RANK(AG25,AG$11:AG$355)+COUNTIF(AG$11:AG25,AG25)-1))</f>
        <v>#N/A</v>
      </c>
      <c r="AF25" s="6" t="str">
        <f>VLOOKUP(Profile!$J$5,Families!$C:$R,15,FALSE)</f>
        <v>Bolsover</v>
      </c>
      <c r="AG25" s="143">
        <f t="shared" si="15"/>
        <v>618.79999999999995</v>
      </c>
      <c r="AH25" s="72" t="e">
        <f t="shared" si="22"/>
        <v>#N/A</v>
      </c>
      <c r="AI25" s="61" t="str">
        <f>IF(L25="","",VLOOKUP($L25,classifications!$C:$J,8,FALSE))</f>
        <v>Gloucestershire</v>
      </c>
      <c r="AJ25" s="62" t="str">
        <f t="shared" si="5"/>
        <v/>
      </c>
      <c r="AK25" s="57" t="str">
        <f>IF(AJ25="","",IF(I$8="A",(RANK(AJ25,AJ$11:AJ$355,1)+COUNTIF(AJ$11:AJ25,AJ25)-1),(RANK(AJ25,AJ$11:AJ$355)+COUNTIF(AJ$11:AJ25,AJ25)-1)))</f>
        <v/>
      </c>
      <c r="AL25" s="52" t="str">
        <f t="shared" si="16"/>
        <v/>
      </c>
      <c r="AM25" s="31" t="str">
        <f t="shared" si="6"/>
        <v/>
      </c>
      <c r="AN25" s="31" t="str">
        <f t="shared" si="7"/>
        <v/>
      </c>
      <c r="AP25" s="61" t="str">
        <f>IF(L25="","",VLOOKUP($L25,classifications!$C:$E,3,FALSE))</f>
        <v>South West</v>
      </c>
      <c r="AQ25" s="62" t="str">
        <f t="shared" si="17"/>
        <v/>
      </c>
      <c r="AR25" s="57" t="str">
        <f>IF(AQ25="","",IF(I$8="A",(RANK(AQ25,AQ$11:AQ$355,1)+COUNTIF(AQ$11:AQ25,AQ25)-1),(RANK(AQ25,AQ$11:AQ$355)+COUNTIF(AQ$11:AQ25,AQ25)-1)))</f>
        <v/>
      </c>
      <c r="AS25" s="52">
        <f t="shared" si="18"/>
        <v>15</v>
      </c>
      <c r="AT25" s="57" t="str">
        <f t="shared" si="8"/>
        <v>Preston</v>
      </c>
      <c r="AU25" s="62">
        <f t="shared" si="9"/>
        <v>601.79999999999995</v>
      </c>
      <c r="AX25" s="44">
        <f>HLOOKUP($AX$9&amp;$AX$10,Data!$A$1:$ZZ$2000,(MATCH($C25,Data!$A$1:$A$2000,0)),FALSE)</f>
        <v>678.2</v>
      </c>
      <c r="AY25" s="156"/>
      <c r="AZ25" s="44"/>
    </row>
    <row r="26" spans="1:52">
      <c r="A26" s="84" t="str">
        <f>$D$1&amp;16</f>
        <v>SD16</v>
      </c>
      <c r="B26" s="85" t="str">
        <f>IF(ISERROR(VLOOKUP(A26,classifications!A:C,3,FALSE)),0,VLOOKUP(A26,classifications!A:C,3,FALSE))</f>
        <v>East Lindsey</v>
      </c>
      <c r="C26" s="31" t="s">
        <v>258</v>
      </c>
      <c r="D26" s="49" t="str">
        <f>VLOOKUP($C26,classifications!$C:$J,4,FALSE)</f>
        <v>UA</v>
      </c>
      <c r="E26" s="49">
        <f>VLOOKUP(C26,classifications!C:K,9,FALSE)</f>
        <v>0</v>
      </c>
      <c r="F26" s="59">
        <f t="shared" si="0"/>
        <v>360.9</v>
      </c>
      <c r="G26" s="105"/>
      <c r="H26" s="60" t="str">
        <f t="shared" si="1"/>
        <v/>
      </c>
      <c r="I26" s="112" t="str">
        <f>IF(H26="","",IF($I$8="A",(RANK(H26,H$11:H$355,1)+COUNTIF(H$11:H26,H26)-1),(RANK(H26,H$11:H$355)+COUNTIF(H$11:H26,H26)-1)))</f>
        <v/>
      </c>
      <c r="J26" s="58"/>
      <c r="K26" s="51">
        <f t="shared" si="10"/>
        <v>16</v>
      </c>
      <c r="L26" s="59" t="str">
        <f t="shared" si="2"/>
        <v>Mid Devon</v>
      </c>
      <c r="M26" s="153">
        <f t="shared" si="3"/>
        <v>376.8</v>
      </c>
      <c r="N26" s="148">
        <f t="shared" si="23"/>
        <v>376.8</v>
      </c>
      <c r="O26" s="131">
        <f t="shared" si="11"/>
        <v>376.8</v>
      </c>
      <c r="P26" s="131" t="str">
        <f t="shared" si="19"/>
        <v/>
      </c>
      <c r="Q26" s="131" t="str">
        <f t="shared" si="20"/>
        <v/>
      </c>
      <c r="R26" s="127" t="str">
        <f t="shared" si="21"/>
        <v/>
      </c>
      <c r="S26" s="60" t="str">
        <f t="shared" si="12"/>
        <v/>
      </c>
      <c r="T26" s="228" t="str">
        <f>IF(L26="","",VLOOKUP(L26,classifications!C:K,9,FALSE))</f>
        <v>Sparse</v>
      </c>
      <c r="U26" s="235">
        <f t="shared" si="13"/>
        <v>376.8</v>
      </c>
      <c r="V26" s="236">
        <f>IF(U26="","",IF($I$8="A",(RANK(U26,U$11:U$355)+COUNTIF(U$11:U26,U26)-1),(RANK(U26,U$11:U$355,1)+COUNTIF(U$11:U26,U26)-1)))</f>
        <v>51</v>
      </c>
      <c r="W26" s="237"/>
      <c r="X26" s="61" t="str">
        <f>IF(L26="","",VLOOKUP($L26,classifications!$C:$J,6,FALSE))</f>
        <v xml:space="preserve">Mainly Rural (rural including hub towns &gt;=80%) </v>
      </c>
      <c r="Y26" s="49">
        <f t="shared" si="4"/>
        <v>376.8</v>
      </c>
      <c r="Z26" s="57">
        <f>IF(Y26="","",IF(I$8="A",(RANK(Y26,Y$11:Y$355,1)+COUNTIF(Y$11:Y26,Y26)-1),(RANK(Y26,Y$11:Y$355)+COUNTIF(Y$11:Y26,Y26)-1)))</f>
        <v>7</v>
      </c>
      <c r="AA26" s="242" t="str">
        <f>IF(L26="","",VLOOKUP($L26,classifications!C:I,7,FALSE))</f>
        <v>Predominantly Rural</v>
      </c>
      <c r="AB26" s="236">
        <f t="shared" si="14"/>
        <v>376.8</v>
      </c>
      <c r="AC26" s="236">
        <f>IF(AB26="","",IF($I$8="A",(RANK(AB26,AB$11:AB$355)+COUNTIF(AB$11:AB26,AB26)-1),(RANK(AB26,AB$11:AB$355,1)+COUNTIF(AB$11:AB26,AB26)-1)))</f>
        <v>60</v>
      </c>
      <c r="AD26" s="236"/>
      <c r="AE26" s="71" t="e">
        <f>IF(I$8="A",(RANK(AG26,AG$11:AG$355,1)+COUNTIF(AG$11:AG26,AG26)-1),(RANK(AG26,AG$11:AG$355)+COUNTIF(AG$11:AG26,AG26)-1))</f>
        <v>#N/A</v>
      </c>
      <c r="AF26" s="6" t="str">
        <f>VLOOKUP(Profile!$J$5,Families!$C:$R,16,FALSE)</f>
        <v>Wyre</v>
      </c>
      <c r="AG26" s="143">
        <f t="shared" si="15"/>
        <v>477.9</v>
      </c>
      <c r="AH26" s="72" t="e">
        <f t="shared" si="22"/>
        <v>#N/A</v>
      </c>
      <c r="AI26" s="61" t="str">
        <f>IF(L26="","",VLOOKUP($L26,classifications!$C:$J,8,FALSE))</f>
        <v>Devon</v>
      </c>
      <c r="AJ26" s="62" t="str">
        <f t="shared" si="5"/>
        <v/>
      </c>
      <c r="AK26" s="57" t="str">
        <f>IF(AJ26="","",IF(I$8="A",(RANK(AJ26,AJ$11:AJ$355,1)+COUNTIF(AJ$11:AJ26,AJ26)-1),(RANK(AJ26,AJ$11:AJ$355)+COUNTIF(AJ$11:AJ26,AJ26)-1)))</f>
        <v/>
      </c>
      <c r="AL26" s="52" t="str">
        <f t="shared" si="16"/>
        <v/>
      </c>
      <c r="AM26" s="31" t="str">
        <f t="shared" si="6"/>
        <v/>
      </c>
      <c r="AN26" s="31" t="str">
        <f t="shared" si="7"/>
        <v/>
      </c>
      <c r="AP26" s="61" t="str">
        <f>IF(L26="","",VLOOKUP($L26,classifications!$C:$E,3,FALSE))</f>
        <v>South West</v>
      </c>
      <c r="AQ26" s="62" t="str">
        <f t="shared" si="17"/>
        <v/>
      </c>
      <c r="AR26" s="57" t="str">
        <f>IF(AQ26="","",IF(I$8="A",(RANK(AQ26,AQ$11:AQ$355,1)+COUNTIF(AQ$11:AQ26,AQ26)-1),(RANK(AQ26,AQ$11:AQ$355)+COUNTIF(AQ$11:AQ26,AQ26)-1)))</f>
        <v/>
      </c>
      <c r="AS26" s="52">
        <f t="shared" si="18"/>
        <v>16</v>
      </c>
      <c r="AT26" s="57" t="str">
        <f t="shared" si="8"/>
        <v>Pendle</v>
      </c>
      <c r="AU26" s="62">
        <f t="shared" si="9"/>
        <v>602.29999999999995</v>
      </c>
      <c r="AX26" s="44">
        <f>HLOOKUP($AX$9&amp;$AX$10,Data!$A$1:$ZZ$2000,(MATCH($C26,Data!$A$1:$A$2000,0)),FALSE)</f>
        <v>360.9</v>
      </c>
      <c r="AY26" s="156"/>
      <c r="AZ26" s="44"/>
    </row>
    <row r="27" spans="1:52">
      <c r="A27" s="84" t="str">
        <f>$D$1&amp;17</f>
        <v>SD17</v>
      </c>
      <c r="B27" s="85" t="str">
        <f>IF(ISERROR(VLOOKUP(A27,classifications!A:C,3,FALSE)),0,VLOOKUP(A27,classifications!A:C,3,FALSE))</f>
        <v>Eden</v>
      </c>
      <c r="C27" s="31" t="s">
        <v>259</v>
      </c>
      <c r="D27" s="49" t="str">
        <f>VLOOKUP($C27,classifications!$C:$J,4,FALSE)</f>
        <v>UA</v>
      </c>
      <c r="E27" s="49">
        <f>VLOOKUP(C27,classifications!C:K,9,FALSE)</f>
        <v>0</v>
      </c>
      <c r="F27" s="59">
        <f t="shared" si="0"/>
        <v>584.6</v>
      </c>
      <c r="G27" s="105"/>
      <c r="H27" s="60" t="str">
        <f t="shared" si="1"/>
        <v/>
      </c>
      <c r="I27" s="112" t="str">
        <f>IF(H27="","",IF($I$8="A",(RANK(H27,H$11:H$355,1)+COUNTIF(H$11:H27,H27)-1),(RANK(H27,H$11:H$355)+COUNTIF(H$11:H27,H27)-1)))</f>
        <v/>
      </c>
      <c r="J27" s="58"/>
      <c r="K27" s="51">
        <f t="shared" si="10"/>
        <v>17</v>
      </c>
      <c r="L27" s="59" t="str">
        <f t="shared" si="2"/>
        <v>North Hertfordshire</v>
      </c>
      <c r="M27" s="153">
        <f t="shared" si="3"/>
        <v>378.2</v>
      </c>
      <c r="N27" s="148">
        <f t="shared" si="23"/>
        <v>378.2</v>
      </c>
      <c r="O27" s="131">
        <f t="shared" si="11"/>
        <v>378.2</v>
      </c>
      <c r="P27" s="131" t="str">
        <f t="shared" si="19"/>
        <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Significant Rural (rural including hub towns 26-49%)</v>
      </c>
      <c r="Y27" s="49" t="str">
        <f t="shared" si="4"/>
        <v/>
      </c>
      <c r="Z27" s="57" t="str">
        <f>IF(Y27="","",IF(I$8="A",(RANK(Y27,Y$11:Y$355,1)+COUNTIF(Y$11:Y27,Y27)-1),(RANK(Y27,Y$11:Y$355)+COUNTIF(Y$11:Y27,Y27)-1)))</f>
        <v/>
      </c>
      <c r="AA27" s="242" t="str">
        <f>IF(L27="","",VLOOKUP($L27,classifications!C:I,7,FALSE))</f>
        <v>Significant Rural</v>
      </c>
      <c r="AB27" s="236" t="str">
        <f t="shared" si="14"/>
        <v/>
      </c>
      <c r="AC27" s="236" t="str">
        <f>IF(AB27="","",IF($I$8="A",(RANK(AB27,AB$11:AB$355)+COUNTIF(AB$11:AB27,AB27)-1),(RANK(AB27,AB$11:AB$355,1)+COUNTIF(AB$11:AB27,AB27)-1)))</f>
        <v/>
      </c>
      <c r="AD27" s="236"/>
      <c r="AE27" s="51"/>
      <c r="AF27" s="6"/>
      <c r="AG27" s="143"/>
      <c r="AH27" s="52"/>
      <c r="AI27" s="61" t="str">
        <f>IF(L27="","",VLOOKUP($L27,classifications!$C:$J,8,FALSE))</f>
        <v>Hertfordshire</v>
      </c>
      <c r="AJ27" s="62" t="str">
        <f t="shared" si="5"/>
        <v/>
      </c>
      <c r="AK27" s="57" t="str">
        <f>IF(AJ27="","",IF(I$8="A",(RANK(AJ27,AJ$11:AJ$355,1)+COUNTIF(AJ$11:AJ27,AJ27)-1),(RANK(AJ27,AJ$11:AJ$355)+COUNTIF(AJ$11:AJ27,AJ27)-1)))</f>
        <v/>
      </c>
      <c r="AL27" s="52" t="str">
        <f t="shared" si="16"/>
        <v/>
      </c>
      <c r="AM27" s="31" t="str">
        <f t="shared" si="6"/>
        <v/>
      </c>
      <c r="AN27" s="31" t="str">
        <f t="shared" si="7"/>
        <v/>
      </c>
      <c r="AP27" s="61" t="str">
        <f>IF(L27="","",VLOOKUP($L27,classifications!$C:$E,3,FALSE))</f>
        <v>East of England</v>
      </c>
      <c r="AQ27" s="62" t="str">
        <f t="shared" si="17"/>
        <v/>
      </c>
      <c r="AR27" s="57" t="str">
        <f>IF(AQ27="","",IF(I$8="A",(RANK(AQ27,AQ$11:AQ$355,1)+COUNTIF(AQ$11:AQ27,AQ27)-1),(RANK(AQ27,AQ$11:AQ$355)+COUNTIF(AQ$11:AQ27,AQ27)-1)))</f>
        <v/>
      </c>
      <c r="AS27" s="52">
        <f t="shared" si="18"/>
        <v>17</v>
      </c>
      <c r="AT27" s="57" t="str">
        <f t="shared" si="8"/>
        <v>Ribble Valley</v>
      </c>
      <c r="AU27" s="62">
        <f t="shared" si="9"/>
        <v>619.6</v>
      </c>
      <c r="AX27" s="44">
        <f>HLOOKUP($AX$9&amp;$AX$10,Data!$A$1:$ZZ$2000,(MATCH($C27,Data!$A$1:$A$2000,0)),FALSE)</f>
        <v>584.6</v>
      </c>
      <c r="AY27" s="156"/>
      <c r="AZ27" s="44"/>
    </row>
    <row r="28" spans="1:52">
      <c r="A28" s="84" t="str">
        <f>$D$1&amp;18</f>
        <v>SD18</v>
      </c>
      <c r="B28" s="85" t="str">
        <f>IF(ISERROR(VLOOKUP(A28,classifications!A:C,3,FALSE)),0,VLOOKUP(A28,classifications!A:C,3,FALSE))</f>
        <v>Forest of Dean</v>
      </c>
      <c r="C28" s="31" t="s">
        <v>197</v>
      </c>
      <c r="D28" s="49" t="str">
        <f>VLOOKUP($C28,classifications!$C:$J,4,FALSE)</f>
        <v>L</v>
      </c>
      <c r="E28" s="49">
        <f>VLOOKUP(C28,classifications!C:K,9,FALSE)</f>
        <v>0</v>
      </c>
      <c r="F28" s="59">
        <f t="shared" si="0"/>
        <v>490.9</v>
      </c>
      <c r="G28" s="105"/>
      <c r="H28" s="60" t="str">
        <f t="shared" si="1"/>
        <v/>
      </c>
      <c r="I28" s="112" t="str">
        <f>IF(H28="","",IF($I$8="A",(RANK(H28,H$11:H$355,1)+COUNTIF(H$11:H28,H28)-1),(RANK(H28,H$11:H$355)+COUNTIF(H$11:H28,H28)-1)))</f>
        <v/>
      </c>
      <c r="J28" s="58"/>
      <c r="K28" s="51">
        <f t="shared" si="10"/>
        <v>18</v>
      </c>
      <c r="L28" s="59" t="str">
        <f t="shared" si="2"/>
        <v>Tandridge</v>
      </c>
      <c r="M28" s="153">
        <f t="shared" si="3"/>
        <v>379.6</v>
      </c>
      <c r="N28" s="148">
        <f t="shared" si="23"/>
        <v>379.6</v>
      </c>
      <c r="O28" s="131">
        <f t="shared" si="11"/>
        <v>379.6</v>
      </c>
      <c r="P28" s="131" t="str">
        <f t="shared" si="19"/>
        <v/>
      </c>
      <c r="Q28" s="131" t="str">
        <f t="shared" si="20"/>
        <v/>
      </c>
      <c r="R28" s="127" t="str">
        <f t="shared" si="21"/>
        <v/>
      </c>
      <c r="S28" s="60" t="str">
        <f t="shared" si="12"/>
        <v/>
      </c>
      <c r="T28" s="228">
        <f>IF(L28="","",VLOOKUP(L28,classifications!C:K,9,FALSE))</f>
        <v>0</v>
      </c>
      <c r="U28" s="235" t="str">
        <f t="shared" si="13"/>
        <v/>
      </c>
      <c r="V28" s="236" t="str">
        <f>IF(U28="","",IF($I$8="A",(RANK(U28,U$11:U$355)+COUNTIF(U$11:U28,U28)-1),(RANK(U28,U$11:U$355,1)+COUNTIF(U$11:U28,U28)-1)))</f>
        <v/>
      </c>
      <c r="W28" s="237"/>
      <c r="X28" s="61" t="str">
        <f>IF(L28="","",VLOOKUP($L28,classifications!$C:$J,6,FALSE))</f>
        <v>Urban with Significant Rural (rural including hub towns 26-49%)</v>
      </c>
      <c r="Y28" s="49" t="str">
        <f t="shared" si="4"/>
        <v/>
      </c>
      <c r="Z28" s="57" t="str">
        <f>IF(Y28="","",IF(I$8="A",(RANK(Y28,Y$11:Y$355,1)+COUNTIF(Y$11:Y28,Y28)-1),(RANK(Y28,Y$11:Y$355)+COUNTIF(Y$11:Y28,Y28)-1)))</f>
        <v/>
      </c>
      <c r="AA28" s="242" t="str">
        <f>IF(L28="","",VLOOKUP($L28,classifications!C:I,7,FALSE))</f>
        <v>Significant Rural</v>
      </c>
      <c r="AB28" s="236" t="str">
        <f t="shared" si="14"/>
        <v/>
      </c>
      <c r="AC28" s="236" t="str">
        <f>IF(AB28="","",IF($I$8="A",(RANK(AB28,AB$11:AB$355)+COUNTIF(AB$11:AB28,AB28)-1),(RANK(AB28,AB$11:AB$355,1)+COUNTIF(AB$11:AB28,AB28)-1)))</f>
        <v/>
      </c>
      <c r="AD28" s="236"/>
      <c r="AE28" s="51"/>
      <c r="AF28" s="6"/>
      <c r="AG28" s="143"/>
      <c r="AH28" s="52"/>
      <c r="AI28" s="61" t="str">
        <f>IF(L28="","",VLOOKUP($L28,classifications!$C:$J,8,FALSE))</f>
        <v>Surrey</v>
      </c>
      <c r="AJ28" s="62" t="str">
        <f t="shared" si="5"/>
        <v/>
      </c>
      <c r="AK28" s="57" t="str">
        <f>IF(AJ28="","",IF(I$8="A",(RANK(AJ28,AJ$11:AJ$355,1)+COUNTIF(AJ$11:AJ28,AJ28)-1),(RANK(AJ28,AJ$11:AJ$355)+COUNTIF(AJ$11:AJ28,AJ28)-1)))</f>
        <v/>
      </c>
      <c r="AL28" s="52" t="str">
        <f t="shared" si="16"/>
        <v/>
      </c>
      <c r="AM28" s="31" t="str">
        <f t="shared" si="6"/>
        <v/>
      </c>
      <c r="AN28" s="31" t="str">
        <f t="shared" si="7"/>
        <v/>
      </c>
      <c r="AP28" s="61" t="str">
        <f>IF(L28="","",VLOOKUP($L28,classifications!$C:$E,3,FALSE))</f>
        <v>South East</v>
      </c>
      <c r="AQ28" s="62" t="str">
        <f t="shared" si="17"/>
        <v/>
      </c>
      <c r="AR28" s="57" t="str">
        <f>IF(AQ28="","",IF(I$8="A",(RANK(AQ28,AQ$11:AQ$355,1)+COUNTIF(AQ$11:AQ28,AQ28)-1),(RANK(AQ28,AQ$11:AQ$355)+COUNTIF(AQ$11:AQ28,AQ28)-1)))</f>
        <v/>
      </c>
      <c r="AS28" s="52">
        <f t="shared" si="18"/>
        <v>18</v>
      </c>
      <c r="AT28" s="57" t="str">
        <f t="shared" si="8"/>
        <v>Barrow-in-Furness</v>
      </c>
      <c r="AU28" s="62">
        <f t="shared" si="9"/>
        <v>640</v>
      </c>
      <c r="AX28" s="44">
        <f>HLOOKUP($AX$9&amp;$AX$10,Data!$A$1:$ZZ$2000,(MATCH($C28,Data!$A$1:$A$2000,0)),FALSE)</f>
        <v>490.9</v>
      </c>
      <c r="AY28" s="156"/>
      <c r="AZ28" s="44"/>
    </row>
    <row r="29" spans="1:52">
      <c r="A29" s="84" t="str">
        <f>$D$1&amp;19</f>
        <v>SD19</v>
      </c>
      <c r="B29" s="85" t="str">
        <f>IF(ISERROR(VLOOKUP(A29,classifications!A:C,3,FALSE)),0,VLOOKUP(A29,classifications!A:C,3,FALSE))</f>
        <v>Hambleton</v>
      </c>
      <c r="C29" s="31" t="s">
        <v>223</v>
      </c>
      <c r="D29" s="49" t="str">
        <f>VLOOKUP($C29,classifications!$C:$J,4,FALSE)</f>
        <v>MD</v>
      </c>
      <c r="E29" s="49">
        <f>VLOOKUP(C29,classifications!C:K,9,FALSE)</f>
        <v>0</v>
      </c>
      <c r="F29" s="59">
        <f t="shared" si="0"/>
        <v>695.2</v>
      </c>
      <c r="G29" s="105"/>
      <c r="H29" s="60" t="str">
        <f t="shared" si="1"/>
        <v/>
      </c>
      <c r="I29" s="112" t="str">
        <f>IF(H29="","",IF($I$8="A",(RANK(H29,H$11:H$355,1)+COUNTIF(H$11:H29,H29)-1),(RANK(H29,H$11:H$355)+COUNTIF(H$11:H29,H29)-1)))</f>
        <v/>
      </c>
      <c r="J29" s="58"/>
      <c r="K29" s="51">
        <f t="shared" si="10"/>
        <v>19</v>
      </c>
      <c r="L29" s="59" t="str">
        <f t="shared" si="2"/>
        <v>Maldon</v>
      </c>
      <c r="M29" s="153">
        <f t="shared" si="3"/>
        <v>387.2</v>
      </c>
      <c r="N29" s="148">
        <f t="shared" si="23"/>
        <v>387.2</v>
      </c>
      <c r="O29" s="131">
        <f t="shared" si="11"/>
        <v>387.2</v>
      </c>
      <c r="P29" s="131" t="str">
        <f t="shared" si="19"/>
        <v/>
      </c>
      <c r="Q29" s="131" t="str">
        <f t="shared" si="20"/>
        <v/>
      </c>
      <c r="R29" s="127" t="str">
        <f t="shared" si="21"/>
        <v/>
      </c>
      <c r="S29" s="60" t="str">
        <f t="shared" si="12"/>
        <v/>
      </c>
      <c r="T29" s="228">
        <f>IF(L29="","",VLOOKUP(L29,classifications!C:K,9,FALSE))</f>
        <v>0</v>
      </c>
      <c r="U29" s="235" t="str">
        <f t="shared" si="13"/>
        <v/>
      </c>
      <c r="V29" s="236" t="str">
        <f>IF(U29="","",IF($I$8="A",(RANK(U29,U$11:U$355)+COUNTIF(U$11:U29,U29)-1),(RANK(U29,U$11:U$355,1)+COUNTIF(U$11:U29,U29)-1)))</f>
        <v/>
      </c>
      <c r="W29" s="237"/>
      <c r="X29" s="61" t="str">
        <f>IF(L29="","",VLOOKUP($L29,classifications!$C:$J,6,FALSE))</f>
        <v xml:space="preserve">Mainly Rural (rural including hub towns &gt;=80%) </v>
      </c>
      <c r="Y29" s="49">
        <f t="shared" si="4"/>
        <v>387.2</v>
      </c>
      <c r="Z29" s="57">
        <f>IF(Y29="","",IF(I$8="A",(RANK(Y29,Y$11:Y$355,1)+COUNTIF(Y$11:Y29,Y29)-1),(RANK(Y29,Y$11:Y$355)+COUNTIF(Y$11:Y29,Y29)-1)))</f>
        <v>8</v>
      </c>
      <c r="AA29" s="242" t="str">
        <f>IF(L29="","",VLOOKUP($L29,classifications!C:I,7,FALSE))</f>
        <v>Predominantly Rural</v>
      </c>
      <c r="AB29" s="236">
        <f t="shared" si="14"/>
        <v>387.2</v>
      </c>
      <c r="AC29" s="236">
        <f>IF(AB29="","",IF($I$8="A",(RANK(AB29,AB$11:AB$355)+COUNTIF(AB$11:AB29,AB29)-1),(RANK(AB29,AB$11:AB$355,1)+COUNTIF(AB$11:AB29,AB29)-1)))</f>
        <v>59</v>
      </c>
      <c r="AD29" s="236"/>
      <c r="AE29" s="51"/>
      <c r="AF29" s="6"/>
      <c r="AG29" s="143"/>
      <c r="AH29" s="52"/>
      <c r="AI29" s="61" t="str">
        <f>IF(L29="","",VLOOKUP($L29,classifications!$C:$J,8,FALSE))</f>
        <v>Essex</v>
      </c>
      <c r="AJ29" s="62" t="str">
        <f t="shared" si="5"/>
        <v/>
      </c>
      <c r="AK29" s="57" t="str">
        <f>IF(AJ29="","",IF(I$8="A",(RANK(AJ29,AJ$11:AJ$355,1)+COUNTIF(AJ$11:AJ29,AJ29)-1),(RANK(AJ29,AJ$11:AJ$355)+COUNTIF(AJ$11:AJ29,AJ29)-1)))</f>
        <v/>
      </c>
      <c r="AL29" s="52" t="str">
        <f t="shared" si="16"/>
        <v/>
      </c>
      <c r="AM29" s="31" t="str">
        <f t="shared" si="6"/>
        <v/>
      </c>
      <c r="AN29" s="31" t="str">
        <f t="shared" si="7"/>
        <v/>
      </c>
      <c r="AP29" s="61" t="str">
        <f>IF(L29="","",VLOOKUP($L29,classifications!$C:$E,3,FALSE))</f>
        <v>East of England</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695.2</v>
      </c>
      <c r="AY29" s="156"/>
      <c r="AZ29" s="44"/>
    </row>
    <row r="30" spans="1:52">
      <c r="A30" s="84" t="str">
        <f>$D$1&amp;20</f>
        <v>SD20</v>
      </c>
      <c r="B30" s="85" t="str">
        <f>IF(ISERROR(VLOOKUP(A30,classifications!A:C,3,FALSE)),0,VLOOKUP(A30,classifications!A:C,3,FALSE))</f>
        <v>Harborough</v>
      </c>
      <c r="C30" s="31" t="s">
        <v>16</v>
      </c>
      <c r="D30" s="49" t="str">
        <f>VLOOKUP($C30,classifications!$C:$J,4,FALSE)</f>
        <v>SD</v>
      </c>
      <c r="E30" s="49">
        <f>VLOOKUP(C30,classifications!C:K,9,FALSE)</f>
        <v>0</v>
      </c>
      <c r="F30" s="59">
        <f t="shared" si="0"/>
        <v>503.3</v>
      </c>
      <c r="G30" s="105"/>
      <c r="H30" s="60">
        <f t="shared" si="1"/>
        <v>503.3</v>
      </c>
      <c r="I30" s="112">
        <f>IF(H30="","",IF($I$8="A",(RANK(H30,H$11:H$355,1)+COUNTIF(H$11:H30,H30)-1),(RANK(H30,H$11:H$355)+COUNTIF(H$11:H30,H30)-1)))</f>
        <v>101</v>
      </c>
      <c r="J30" s="58"/>
      <c r="K30" s="51">
        <f t="shared" si="10"/>
        <v>20</v>
      </c>
      <c r="L30" s="59" t="str">
        <f t="shared" si="2"/>
        <v>Waverley</v>
      </c>
      <c r="M30" s="153">
        <f t="shared" si="3"/>
        <v>388.9</v>
      </c>
      <c r="N30" s="148">
        <f t="shared" si="23"/>
        <v>388.9</v>
      </c>
      <c r="O30" s="131">
        <f t="shared" si="11"/>
        <v>388.9</v>
      </c>
      <c r="P30" s="131" t="str">
        <f t="shared" si="19"/>
        <v/>
      </c>
      <c r="Q30" s="131" t="str">
        <f t="shared" si="20"/>
        <v/>
      </c>
      <c r="R30" s="127" t="str">
        <f t="shared" si="21"/>
        <v/>
      </c>
      <c r="S30" s="60" t="str">
        <f t="shared" si="12"/>
        <v/>
      </c>
      <c r="T30" s="228">
        <f>IF(L30="","",VLOOKUP(L30,classifications!C:K,9,FALSE))</f>
        <v>0</v>
      </c>
      <c r="U30" s="235" t="str">
        <f t="shared" si="13"/>
        <v/>
      </c>
      <c r="V30" s="236" t="str">
        <f>IF(U30="","",IF($I$8="A",(RANK(U30,U$11:U$355)+COUNTIF(U$11:U30,U30)-1),(RANK(U30,U$11:U$355,1)+COUNTIF(U$11:U30,U30)-1)))</f>
        <v/>
      </c>
      <c r="W30" s="237"/>
      <c r="X30" s="61" t="str">
        <f>IF(L30="","",VLOOKUP($L30,classifications!$C:$J,6,FALSE))</f>
        <v xml:space="preserve">Largely Rural (rural including hub towns 50-79%) </v>
      </c>
      <c r="Y30" s="49" t="str">
        <f t="shared" si="4"/>
        <v/>
      </c>
      <c r="Z30" s="57" t="str">
        <f>IF(Y30="","",IF(I$8="A",(RANK(Y30,Y$11:Y$355,1)+COUNTIF(Y$11:Y30,Y30)-1),(RANK(Y30,Y$11:Y$355)+COUNTIF(Y$11:Y30,Y30)-1)))</f>
        <v/>
      </c>
      <c r="AA30" s="242" t="str">
        <f>IF(L30="","",VLOOKUP($L30,classifications!C:I,7,FALSE))</f>
        <v>Predominantly Rural</v>
      </c>
      <c r="AB30" s="236">
        <f t="shared" si="14"/>
        <v>388.9</v>
      </c>
      <c r="AC30" s="236">
        <f>IF(AB30="","",IF($I$8="A",(RANK(AB30,AB$11:AB$355)+COUNTIF(AB$11:AB30,AB30)-1),(RANK(AB30,AB$11:AB$355,1)+COUNTIF(AB$11:AB30,AB30)-1)))</f>
        <v>58</v>
      </c>
      <c r="AD30" s="236"/>
      <c r="AE30" s="51"/>
      <c r="AF30" s="6"/>
      <c r="AG30" s="143"/>
      <c r="AH30" s="52"/>
      <c r="AI30" s="61" t="str">
        <f>IF(L30="","",VLOOKUP($L30,classifications!$C:$J,8,FALSE))</f>
        <v>Surrey</v>
      </c>
      <c r="AJ30" s="62" t="str">
        <f t="shared" si="5"/>
        <v/>
      </c>
      <c r="AK30" s="57" t="str">
        <f>IF(AJ30="","",IF(I$8="A",(RANK(AJ30,AJ$11:AJ$355,1)+COUNTIF(AJ$11:AJ30,AJ30)-1),(RANK(AJ30,AJ$11:AJ$355)+COUNTIF(AJ$11:AJ30,AJ30)-1)))</f>
        <v/>
      </c>
      <c r="AL30" s="52" t="str">
        <f t="shared" si="16"/>
        <v/>
      </c>
      <c r="AM30" s="31" t="str">
        <f t="shared" si="6"/>
        <v/>
      </c>
      <c r="AN30" s="31" t="str">
        <f t="shared" si="7"/>
        <v/>
      </c>
      <c r="AP30" s="61" t="str">
        <f>IF(L30="","",VLOOKUP($L30,classifications!$C:$E,3,FALSE))</f>
        <v>South East</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503.3</v>
      </c>
      <c r="AY30" s="156"/>
      <c r="AZ30" s="44"/>
    </row>
    <row r="31" spans="1:52">
      <c r="A31" s="84" t="str">
        <f>$D$1&amp;21</f>
        <v>SD21</v>
      </c>
      <c r="B31" s="85" t="str">
        <f>IF(ISERROR(VLOOKUP(A31,classifications!A:C,3,FALSE)),0,VLOOKUP(A31,classifications!A:C,3,FALSE))</f>
        <v>Harrogate</v>
      </c>
      <c r="C31" s="31" t="s">
        <v>260</v>
      </c>
      <c r="D31" s="49" t="str">
        <f>VLOOKUP($C31,classifications!$C:$J,4,FALSE)</f>
        <v>UA</v>
      </c>
      <c r="E31" s="49">
        <f>VLOOKUP(C31,classifications!C:K,9,FALSE)</f>
        <v>0</v>
      </c>
      <c r="F31" s="59">
        <f t="shared" si="0"/>
        <v>576.4</v>
      </c>
      <c r="G31" s="105"/>
      <c r="H31" s="60" t="str">
        <f t="shared" si="1"/>
        <v/>
      </c>
      <c r="I31" s="112" t="str">
        <f>IF(H31="","",IF($I$8="A",(RANK(H31,H$11:H$355,1)+COUNTIF(H$11:H31,H31)-1),(RANK(H31,H$11:H$355)+COUNTIF(H$11:H31,H31)-1)))</f>
        <v/>
      </c>
      <c r="J31" s="58"/>
      <c r="K31" s="51">
        <f t="shared" si="10"/>
        <v>21</v>
      </c>
      <c r="L31" s="59" t="str">
        <f t="shared" si="2"/>
        <v>Guildford</v>
      </c>
      <c r="M31" s="153">
        <f t="shared" si="3"/>
        <v>389.2</v>
      </c>
      <c r="N31" s="148">
        <f t="shared" si="23"/>
        <v>389.2</v>
      </c>
      <c r="O31" s="131">
        <f t="shared" si="11"/>
        <v>389.2</v>
      </c>
      <c r="P31" s="131" t="str">
        <f t="shared" si="19"/>
        <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Urban with City and Town</v>
      </c>
      <c r="Y31" s="49" t="str">
        <f t="shared" si="4"/>
        <v/>
      </c>
      <c r="Z31" s="57" t="str">
        <f>IF(Y31="","",IF(I$8="A",(RANK(Y31,Y$11:Y$355,1)+COUNTIF(Y$11:Y31,Y31)-1),(RANK(Y31,Y$11:Y$355)+COUNTIF(Y$11:Y31,Y31)-1)))</f>
        <v/>
      </c>
      <c r="AA31" s="242" t="str">
        <f>IF(L31="","",VLOOKUP($L31,classifications!C:I,7,FALSE))</f>
        <v>Predominantly Urban</v>
      </c>
      <c r="AB31" s="236" t="str">
        <f t="shared" si="14"/>
        <v/>
      </c>
      <c r="AC31" s="236" t="str">
        <f>IF(AB31="","",IF($I$8="A",(RANK(AB31,AB$11:AB$355)+COUNTIF(AB$11:AB31,AB31)-1),(RANK(AB31,AB$11:AB$355,1)+COUNTIF(AB$11:AB31,AB31)-1)))</f>
        <v/>
      </c>
      <c r="AD31" s="236"/>
      <c r="AE31" s="51"/>
      <c r="AF31" s="6"/>
      <c r="AG31" s="143"/>
      <c r="AH31" s="52"/>
      <c r="AI31" s="61" t="str">
        <f>IF(L31="","",VLOOKUP($L31,classifications!$C:$J,8,FALSE))</f>
        <v>Surrey</v>
      </c>
      <c r="AJ31" s="62" t="str">
        <f t="shared" si="5"/>
        <v/>
      </c>
      <c r="AK31" s="57" t="str">
        <f>IF(AJ31="","",IF(I$8="A",(RANK(AJ31,AJ$11:AJ$355,1)+COUNTIF(AJ$11:AJ31,AJ31)-1),(RANK(AJ31,AJ$11:AJ$355)+COUNTIF(AJ$11:AJ31,AJ31)-1)))</f>
        <v/>
      </c>
      <c r="AL31" s="52" t="str">
        <f t="shared" si="16"/>
        <v/>
      </c>
      <c r="AM31" s="31" t="str">
        <f t="shared" si="6"/>
        <v/>
      </c>
      <c r="AN31" s="31" t="str">
        <f t="shared" si="7"/>
        <v/>
      </c>
      <c r="AP31" s="61" t="str">
        <f>IF(L31="","",VLOOKUP($L31,classifications!$C:$E,3,FALSE))</f>
        <v>South East</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576.4</v>
      </c>
      <c r="AY31" s="156"/>
      <c r="AZ31" s="44"/>
    </row>
    <row r="32" spans="1:52">
      <c r="A32" s="84" t="str">
        <f>$D$1&amp;22</f>
        <v>SD22</v>
      </c>
      <c r="B32" s="85" t="str">
        <f>IF(ISERROR(VLOOKUP(A32,classifications!A:C,3,FALSE)),0,VLOOKUP(A32,classifications!A:C,3,FALSE))</f>
        <v>King's Lynn &amp; West Norfolk</v>
      </c>
      <c r="C32" s="31" t="s">
        <v>261</v>
      </c>
      <c r="D32" s="49" t="str">
        <f>VLOOKUP($C32,classifications!$C:$J,4,FALSE)</f>
        <v>UA</v>
      </c>
      <c r="E32" s="49">
        <f>VLOOKUP(C32,classifications!C:K,9,FALSE)</f>
        <v>0</v>
      </c>
      <c r="F32" s="59">
        <f t="shared" si="0"/>
        <v>676</v>
      </c>
      <c r="G32" s="105"/>
      <c r="H32" s="60" t="str">
        <f t="shared" si="1"/>
        <v/>
      </c>
      <c r="I32" s="112" t="str">
        <f>IF(H32="","",IF($I$8="A",(RANK(H32,H$11:H$355,1)+COUNTIF(H$11:H32,H32)-1),(RANK(H32,H$11:H$355)+COUNTIF(H$11:H32,H32)-1)))</f>
        <v/>
      </c>
      <c r="J32" s="58"/>
      <c r="K32" s="51">
        <f t="shared" si="10"/>
        <v>22</v>
      </c>
      <c r="L32" s="59" t="str">
        <f t="shared" si="2"/>
        <v>East Cambridgeshire</v>
      </c>
      <c r="M32" s="153">
        <f t="shared" si="3"/>
        <v>392.7</v>
      </c>
      <c r="N32" s="148">
        <f t="shared" si="23"/>
        <v>392.7</v>
      </c>
      <c r="O32" s="131">
        <f t="shared" si="11"/>
        <v>392.7</v>
      </c>
      <c r="P32" s="131" t="str">
        <f t="shared" si="19"/>
        <v/>
      </c>
      <c r="Q32" s="131" t="str">
        <f t="shared" si="20"/>
        <v/>
      </c>
      <c r="R32" s="127" t="str">
        <f t="shared" si="21"/>
        <v/>
      </c>
      <c r="S32" s="60" t="str">
        <f t="shared" si="12"/>
        <v/>
      </c>
      <c r="T32" s="228" t="str">
        <f>IF(L32="","",VLOOKUP(L32,classifications!C:K,9,FALSE))</f>
        <v>Sparse</v>
      </c>
      <c r="U32" s="235">
        <f t="shared" si="13"/>
        <v>392.7</v>
      </c>
      <c r="V32" s="236">
        <f>IF(U32="","",IF($I$8="A",(RANK(U32,U$11:U$355)+COUNTIF(U$11:U32,U32)-1),(RANK(U32,U$11:U$355,1)+COUNTIF(U$11:U32,U32)-1)))</f>
        <v>50</v>
      </c>
      <c r="W32" s="237"/>
      <c r="X32" s="61" t="str">
        <f>IF(L32="","",VLOOKUP($L32,classifications!$C:$J,6,FALSE))</f>
        <v xml:space="preserve">Mainly Rural (rural including hub towns &gt;=80%) </v>
      </c>
      <c r="Y32" s="49">
        <f t="shared" si="4"/>
        <v>392.7</v>
      </c>
      <c r="Z32" s="57">
        <f>IF(Y32="","",IF(I$8="A",(RANK(Y32,Y$11:Y$355,1)+COUNTIF(Y$11:Y32,Y32)-1),(RANK(Y32,Y$11:Y$355)+COUNTIF(Y$11:Y32,Y32)-1)))</f>
        <v>9</v>
      </c>
      <c r="AA32" s="242" t="str">
        <f>IF(L32="","",VLOOKUP($L32,classifications!C:I,7,FALSE))</f>
        <v>Predominantly Rural</v>
      </c>
      <c r="AB32" s="236">
        <f t="shared" si="14"/>
        <v>392.7</v>
      </c>
      <c r="AC32" s="236">
        <f>IF(AB32="","",IF($I$8="A",(RANK(AB32,AB$11:AB$355)+COUNTIF(AB$11:AB32,AB32)-1),(RANK(AB32,AB$11:AB$355,1)+COUNTIF(AB$11:AB32,AB32)-1)))</f>
        <v>57</v>
      </c>
      <c r="AD32" s="236"/>
      <c r="AE32" s="51"/>
      <c r="AG32" s="143"/>
      <c r="AH32" s="52"/>
      <c r="AI32" s="61" t="str">
        <f>IF(L32="","",VLOOKUP($L32,classifications!$C:$J,8,FALSE))</f>
        <v>Cambridgeshire</v>
      </c>
      <c r="AJ32" s="62" t="str">
        <f t="shared" si="5"/>
        <v/>
      </c>
      <c r="AK32" s="57" t="str">
        <f>IF(AJ32="","",IF(I$8="A",(RANK(AJ32,AJ$11:AJ$355,1)+COUNTIF(AJ$11:AJ32,AJ32)-1),(RANK(AJ32,AJ$11:AJ$355)+COUNTIF(AJ$11:AJ32,AJ32)-1)))</f>
        <v/>
      </c>
      <c r="AL32" s="52" t="str">
        <f t="shared" si="16"/>
        <v/>
      </c>
      <c r="AM32" s="31" t="str">
        <f t="shared" si="6"/>
        <v/>
      </c>
      <c r="AN32" s="31" t="str">
        <f t="shared" si="7"/>
        <v/>
      </c>
      <c r="AP32" s="61" t="str">
        <f>IF(L32="","",VLOOKUP($L32,classifications!$C:$E,3,FALSE))</f>
        <v>East of England</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676</v>
      </c>
      <c r="AY32" s="156"/>
      <c r="AZ32" s="44"/>
    </row>
    <row r="33" spans="1:52">
      <c r="A33" s="84" t="str">
        <f>$D$1&amp;23</f>
        <v>SD23</v>
      </c>
      <c r="B33" s="85" t="str">
        <f>IF(ISERROR(VLOOKUP(A33,classifications!A:C,3,FALSE)),0,VLOOKUP(A33,classifications!A:C,3,FALSE))</f>
        <v>Lewes</v>
      </c>
      <c r="C33" s="31" t="s">
        <v>17</v>
      </c>
      <c r="D33" s="49" t="str">
        <f>VLOOKUP($C33,classifications!$C:$J,4,FALSE)</f>
        <v>SD</v>
      </c>
      <c r="E33" s="49">
        <f>VLOOKUP(C33,classifications!C:K,9,FALSE)</f>
        <v>0</v>
      </c>
      <c r="F33" s="59">
        <f t="shared" si="0"/>
        <v>618.79999999999995</v>
      </c>
      <c r="G33" s="105"/>
      <c r="H33" s="60">
        <f t="shared" si="1"/>
        <v>618.79999999999995</v>
      </c>
      <c r="I33" s="112">
        <f>IF(H33="","",IF($I$8="A",(RANK(H33,H$11:H$355,1)+COUNTIF(H$11:H33,H33)-1),(RANK(H33,H$11:H$355)+COUNTIF(H$11:H33,H33)-1)))</f>
        <v>171</v>
      </c>
      <c r="J33" s="58"/>
      <c r="K33" s="51">
        <f t="shared" si="10"/>
        <v>23</v>
      </c>
      <c r="L33" s="59" t="str">
        <f t="shared" si="2"/>
        <v>Warwick</v>
      </c>
      <c r="M33" s="153">
        <f t="shared" si="3"/>
        <v>398.3</v>
      </c>
      <c r="N33" s="148">
        <f t="shared" si="23"/>
        <v>398.3</v>
      </c>
      <c r="O33" s="131">
        <f t="shared" si="11"/>
        <v>398.3</v>
      </c>
      <c r="P33" s="131" t="str">
        <f t="shared" si="19"/>
        <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Urban with City and Town</v>
      </c>
      <c r="Y33" s="49" t="str">
        <f t="shared" si="4"/>
        <v/>
      </c>
      <c r="Z33" s="57" t="str">
        <f>IF(Y33="","",IF(I$8="A",(RANK(Y33,Y$11:Y$355,1)+COUNTIF(Y$11:Y33,Y33)-1),(RANK(Y33,Y$11:Y$355)+COUNTIF(Y$11:Y33,Y33)-1)))</f>
        <v/>
      </c>
      <c r="AA33" s="242" t="str">
        <f>IF(L33="","",VLOOKUP($L33,classifications!C:I,7,FALSE))</f>
        <v>Predominantly Urban</v>
      </c>
      <c r="AB33" s="236" t="str">
        <f t="shared" si="14"/>
        <v/>
      </c>
      <c r="AC33" s="236" t="str">
        <f>IF(AB33="","",IF($I$8="A",(RANK(AB33,AB$11:AB$355)+COUNTIF(AB$11:AB33,AB33)-1),(RANK(AB33,AB$11:AB$355,1)+COUNTIF(AB$11:AB33,AB33)-1)))</f>
        <v/>
      </c>
      <c r="AD33" s="236"/>
      <c r="AE33" s="51"/>
      <c r="AG33" s="143"/>
      <c r="AH33" s="52"/>
      <c r="AI33" s="61" t="str">
        <f>IF(L33="","",VLOOKUP($L33,classifications!$C:$J,8,FALSE))</f>
        <v>Warwickshire</v>
      </c>
      <c r="AJ33" s="62" t="str">
        <f t="shared" si="5"/>
        <v/>
      </c>
      <c r="AK33" s="57" t="str">
        <f>IF(AJ33="","",IF(I$8="A",(RANK(AJ33,AJ$11:AJ$355,1)+COUNTIF(AJ$11:AJ33,AJ33)-1),(RANK(AJ33,AJ$11:AJ$355)+COUNTIF(AJ$11:AJ33,AJ33)-1)))</f>
        <v/>
      </c>
      <c r="AL33" s="52" t="str">
        <f t="shared" si="16"/>
        <v/>
      </c>
      <c r="AM33" s="31" t="str">
        <f t="shared" si="6"/>
        <v/>
      </c>
      <c r="AN33" s="31" t="str">
        <f t="shared" si="7"/>
        <v/>
      </c>
      <c r="AP33" s="61" t="str">
        <f>IF(L33="","",VLOOKUP($L33,classifications!$C:$E,3,FALSE))</f>
        <v>West Midlands</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618.79999999999995</v>
      </c>
      <c r="AY33" s="156"/>
      <c r="AZ33" s="44"/>
    </row>
    <row r="34" spans="1:52">
      <c r="A34" s="84" t="str">
        <f>$D$1&amp;24</f>
        <v>SD24</v>
      </c>
      <c r="B34" s="85" t="str">
        <f>IF(ISERROR(VLOOKUP(A34,classifications!A:C,3,FALSE)),0,VLOOKUP(A34,classifications!A:C,3,FALSE))</f>
        <v>Lichfield</v>
      </c>
      <c r="C34" s="31" t="s">
        <v>224</v>
      </c>
      <c r="D34" s="49" t="str">
        <f>VLOOKUP($C34,classifications!$C:$J,4,FALSE)</f>
        <v>MD</v>
      </c>
      <c r="E34" s="49">
        <f>VLOOKUP(C34,classifications!C:K,9,FALSE)</f>
        <v>0</v>
      </c>
      <c r="F34" s="59">
        <f t="shared" si="0"/>
        <v>409.7</v>
      </c>
      <c r="G34" s="105"/>
      <c r="H34" s="60" t="str">
        <f t="shared" si="1"/>
        <v/>
      </c>
      <c r="I34" s="112" t="str">
        <f>IF(H34="","",IF($I$8="A",(RANK(H34,H$11:H$355,1)+COUNTIF(H$11:H34,H34)-1),(RANK(H34,H$11:H$355)+COUNTIF(H$11:H34,H34)-1)))</f>
        <v/>
      </c>
      <c r="J34" s="58"/>
      <c r="K34" s="51">
        <f t="shared" si="10"/>
        <v>24</v>
      </c>
      <c r="L34" s="59" t="str">
        <f t="shared" si="2"/>
        <v>Rochford</v>
      </c>
      <c r="M34" s="153">
        <f t="shared" si="3"/>
        <v>403</v>
      </c>
      <c r="N34" s="148">
        <f t="shared" si="23"/>
        <v>403</v>
      </c>
      <c r="O34" s="131">
        <f t="shared" si="11"/>
        <v>403</v>
      </c>
      <c r="P34" s="131" t="str">
        <f t="shared" si="19"/>
        <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Urban with City and Town</v>
      </c>
      <c r="Y34" s="49" t="str">
        <f t="shared" si="4"/>
        <v/>
      </c>
      <c r="Z34" s="57" t="str">
        <f>IF(Y34="","",IF(I$8="A",(RANK(Y34,Y$11:Y$355,1)+COUNTIF(Y$11:Y34,Y34)-1),(RANK(Y34,Y$11:Y$355)+COUNTIF(Y$11:Y34,Y34)-1)))</f>
        <v/>
      </c>
      <c r="AA34" s="242" t="str">
        <f>IF(L34="","",VLOOKUP($L34,classifications!C:I,7,FALSE))</f>
        <v>Predominantly Urban</v>
      </c>
      <c r="AB34" s="236" t="str">
        <f t="shared" si="14"/>
        <v/>
      </c>
      <c r="AC34" s="236" t="str">
        <f>IF(AB34="","",IF($I$8="A",(RANK(AB34,AB$11:AB$355)+COUNTIF(AB$11:AB34,AB34)-1),(RANK(AB34,AB$11:AB$355,1)+COUNTIF(AB$11:AB34,AB34)-1)))</f>
        <v/>
      </c>
      <c r="AD34" s="236"/>
      <c r="AE34" s="51"/>
      <c r="AG34" s="143"/>
      <c r="AH34" s="52"/>
      <c r="AI34" s="61" t="str">
        <f>IF(L34="","",VLOOKUP($L34,classifications!$C:$J,8,FALSE))</f>
        <v>Essex</v>
      </c>
      <c r="AJ34" s="62" t="str">
        <f t="shared" si="5"/>
        <v/>
      </c>
      <c r="AK34" s="57" t="str">
        <f>IF(AJ34="","",IF(I$8="A",(RANK(AJ34,AJ$11:AJ$355,1)+COUNTIF(AJ$11:AJ34,AJ34)-1),(RANK(AJ34,AJ$11:AJ$355)+COUNTIF(AJ$11:AJ34,AJ34)-1)))</f>
        <v/>
      </c>
      <c r="AL34" s="52" t="str">
        <f t="shared" si="16"/>
        <v/>
      </c>
      <c r="AM34" s="31" t="str">
        <f t="shared" si="6"/>
        <v/>
      </c>
      <c r="AN34" s="31" t="str">
        <f t="shared" si="7"/>
        <v/>
      </c>
      <c r="AP34" s="61" t="str">
        <f>IF(L34="","",VLOOKUP($L34,classifications!$C:$E,3,FALSE))</f>
        <v>East of England</v>
      </c>
      <c r="AQ34" s="62" t="str">
        <f t="shared" si="17"/>
        <v/>
      </c>
      <c r="AR34" s="57" t="str">
        <f>IF(AQ34="","",IF(I$8="A",(RANK(AQ34,AQ$11:AQ$355,1)+COUNTIF(AQ$11:AQ34,AQ34)-1),(RANK(AQ34,AQ$11:AQ$355)+COUNTIF(AQ$11:AQ34,AQ34)-1)))</f>
        <v/>
      </c>
      <c r="AS34" s="52" t="str">
        <f t="shared" si="18"/>
        <v/>
      </c>
      <c r="AT34" s="57" t="str">
        <f t="shared" si="8"/>
        <v/>
      </c>
      <c r="AU34" s="62" t="str">
        <f t="shared" si="9"/>
        <v/>
      </c>
      <c r="AX34" s="44">
        <f>HLOOKUP($AX$9&amp;$AX$10,Data!$A$1:$ZZ$2000,(MATCH($C34,Data!$A$1:$A$2000,0)),FALSE)</f>
        <v>409.7</v>
      </c>
      <c r="AY34" s="156"/>
      <c r="AZ34" s="44"/>
    </row>
    <row r="35" spans="1:52">
      <c r="A35" s="84" t="str">
        <f>$D$1&amp;25</f>
        <v>SD25</v>
      </c>
      <c r="B35" s="85" t="str">
        <f>IF(ISERROR(VLOOKUP(A35,classifications!A:C,3,FALSE)),0,VLOOKUP(A35,classifications!A:C,3,FALSE))</f>
        <v>Malvern Hills</v>
      </c>
      <c r="C35" s="31" t="s">
        <v>18</v>
      </c>
      <c r="D35" s="49" t="str">
        <f>VLOOKUP($C35,classifications!$C:$J,4,FALSE)</f>
        <v>SD</v>
      </c>
      <c r="E35" s="49" t="str">
        <f>VLOOKUP(C35,classifications!C:K,9,FALSE)</f>
        <v>Sparse</v>
      </c>
      <c r="F35" s="59">
        <f t="shared" si="0"/>
        <v>622.4</v>
      </c>
      <c r="G35" s="105"/>
      <c r="H35" s="60">
        <f t="shared" si="1"/>
        <v>622.4</v>
      </c>
      <c r="I35" s="112">
        <f>IF(H35="","",IF($I$8="A",(RANK(H35,H$11:H$355,1)+COUNTIF(H$11:H35,H35)-1),(RANK(H35,H$11:H$355)+COUNTIF(H$11:H35,H35)-1)))</f>
        <v>175</v>
      </c>
      <c r="J35" s="58"/>
      <c r="K35" s="51">
        <f t="shared" si="10"/>
        <v>25</v>
      </c>
      <c r="L35" s="59" t="str">
        <f t="shared" si="2"/>
        <v>West Oxfordshire</v>
      </c>
      <c r="M35" s="153">
        <f t="shared" si="3"/>
        <v>403.1</v>
      </c>
      <c r="N35" s="148">
        <f t="shared" si="23"/>
        <v>403.1</v>
      </c>
      <c r="O35" s="131">
        <f t="shared" si="11"/>
        <v>403.1</v>
      </c>
      <c r="P35" s="131" t="str">
        <f t="shared" si="19"/>
        <v/>
      </c>
      <c r="Q35" s="131" t="str">
        <f t="shared" si="20"/>
        <v/>
      </c>
      <c r="R35" s="127" t="str">
        <f t="shared" si="21"/>
        <v/>
      </c>
      <c r="S35" s="60" t="str">
        <f t="shared" si="12"/>
        <v/>
      </c>
      <c r="T35" s="228" t="str">
        <f>IF(L35="","",VLOOKUP(L35,classifications!C:K,9,FALSE))</f>
        <v>Sparse</v>
      </c>
      <c r="U35" s="235">
        <f t="shared" si="13"/>
        <v>403.1</v>
      </c>
      <c r="V35" s="236">
        <f>IF(U35="","",IF($I$8="A",(RANK(U35,U$11:U$355)+COUNTIF(U$11:U35,U35)-1),(RANK(U35,U$11:U$355,1)+COUNTIF(U$11:U35,U35)-1)))</f>
        <v>49</v>
      </c>
      <c r="W35" s="237"/>
      <c r="X35" s="61" t="str">
        <f>IF(L35="","",VLOOKUP($L35,classifications!$C:$J,6,FALSE))</f>
        <v xml:space="preserve">Mainly Rural (rural including hub towns &gt;=80%) </v>
      </c>
      <c r="Y35" s="49">
        <f t="shared" si="4"/>
        <v>403.1</v>
      </c>
      <c r="Z35" s="57">
        <f>IF(Y35="","",IF(I$8="A",(RANK(Y35,Y$11:Y$355,1)+COUNTIF(Y$11:Y35,Y35)-1),(RANK(Y35,Y$11:Y$355)+COUNTIF(Y$11:Y35,Y35)-1)))</f>
        <v>10</v>
      </c>
      <c r="AA35" s="242" t="str">
        <f>IF(L35="","",VLOOKUP($L35,classifications!C:I,7,FALSE))</f>
        <v>Predominantly Rural</v>
      </c>
      <c r="AB35" s="236">
        <f t="shared" si="14"/>
        <v>403.1</v>
      </c>
      <c r="AC35" s="236">
        <f>IF(AB35="","",IF($I$8="A",(RANK(AB35,AB$11:AB$355)+COUNTIF(AB$11:AB35,AB35)-1),(RANK(AB35,AB$11:AB$355,1)+COUNTIF(AB$11:AB35,AB35)-1)))</f>
        <v>56</v>
      </c>
      <c r="AD35" s="236"/>
      <c r="AE35" s="51" t="str">
        <f t="shared" ref="AE35:AE98" si="24">IF(AE34="","",IF(AE34+1&gt;(COUNT(AG:AG)),"",AE34+1))</f>
        <v/>
      </c>
      <c r="AG35" s="143"/>
      <c r="AH35" s="52"/>
      <c r="AI35" s="61" t="str">
        <f>IF(L35="","",VLOOKUP($L35,classifications!$C:$J,8,FALSE))</f>
        <v>Oxfordshire</v>
      </c>
      <c r="AJ35" s="62" t="str">
        <f t="shared" si="5"/>
        <v/>
      </c>
      <c r="AK35" s="57" t="str">
        <f>IF(AJ35="","",IF(I$8="A",(RANK(AJ35,AJ$11:AJ$355,1)+COUNTIF(AJ$11:AJ35,AJ35)-1),(RANK(AJ35,AJ$11:AJ$355)+COUNTIF(AJ$11:AJ35,AJ35)-1)))</f>
        <v/>
      </c>
      <c r="AL35" s="52" t="str">
        <f t="shared" si="16"/>
        <v/>
      </c>
      <c r="AM35" s="31" t="str">
        <f t="shared" si="6"/>
        <v/>
      </c>
      <c r="AN35" s="31" t="str">
        <f t="shared" si="7"/>
        <v/>
      </c>
      <c r="AP35" s="61" t="str">
        <f>IF(L35="","",VLOOKUP($L35,classifications!$C:$E,3,FALSE))</f>
        <v>South East</v>
      </c>
      <c r="AQ35" s="62" t="str">
        <f t="shared" si="17"/>
        <v/>
      </c>
      <c r="AR35" s="57" t="str">
        <f>IF(AQ35="","",IF(I$8="A",(RANK(AQ35,AQ$11:AQ$355,1)+COUNTIF(AQ$11:AQ35,AQ35)-1),(RANK(AQ35,AQ$11:AQ$355)+COUNTIF(AQ$11:AQ35,AQ35)-1)))</f>
        <v/>
      </c>
      <c r="AS35" s="52" t="str">
        <f t="shared" si="18"/>
        <v/>
      </c>
      <c r="AT35" s="57" t="str">
        <f t="shared" si="8"/>
        <v/>
      </c>
      <c r="AU35" s="62" t="str">
        <f t="shared" si="9"/>
        <v/>
      </c>
      <c r="AX35" s="44">
        <f>HLOOKUP($AX$9&amp;$AX$10,Data!$A$1:$ZZ$2000,(MATCH($C35,Data!$A$1:$A$2000,0)),FALSE)</f>
        <v>622.4</v>
      </c>
      <c r="AY35" s="156"/>
      <c r="AZ35" s="44"/>
    </row>
    <row r="36" spans="1:52">
      <c r="A36" s="84" t="str">
        <f>$D$1&amp;26</f>
        <v>SD26</v>
      </c>
      <c r="B36" s="85" t="str">
        <f>IF(ISERROR(VLOOKUP(A36,classifications!A:C,3,FALSE)),0,VLOOKUP(A36,classifications!A:C,3,FALSE))</f>
        <v>Melton</v>
      </c>
      <c r="C36" s="31" t="s">
        <v>910</v>
      </c>
      <c r="D36" s="49" t="str">
        <f>VLOOKUP($C36,classifications!$C:$J,4,FALSE)</f>
        <v>UA</v>
      </c>
      <c r="E36" s="49">
        <f>VLOOKUP(C36,classifications!C:K,9,FALSE)</f>
        <v>0</v>
      </c>
      <c r="F36" s="59">
        <f t="shared" si="0"/>
        <v>455.9</v>
      </c>
      <c r="G36" s="105"/>
      <c r="H36" s="60" t="str">
        <f t="shared" si="1"/>
        <v/>
      </c>
      <c r="I36" s="112" t="str">
        <f>IF(H36="","",IF($I$8="A",(RANK(H36,H$11:H$355,1)+COUNTIF(H$11:H36,H36)-1),(RANK(H36,H$11:H$355)+COUNTIF(H$11:H36,H36)-1)))</f>
        <v/>
      </c>
      <c r="J36" s="58"/>
      <c r="K36" s="51">
        <f t="shared" si="10"/>
        <v>26</v>
      </c>
      <c r="L36" s="59" t="str">
        <f t="shared" si="2"/>
        <v>Staffordshire Moorlands</v>
      </c>
      <c r="M36" s="153">
        <f t="shared" si="3"/>
        <v>404.6</v>
      </c>
      <c r="N36" s="148">
        <f t="shared" si="23"/>
        <v>404.6</v>
      </c>
      <c r="O36" s="131">
        <f t="shared" si="11"/>
        <v>404.6</v>
      </c>
      <c r="P36" s="131" t="str">
        <f t="shared" si="19"/>
        <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 xml:space="preserve">Largely Rural (rural including hub towns 50-79%) </v>
      </c>
      <c r="Y36" s="49" t="str">
        <f t="shared" si="4"/>
        <v/>
      </c>
      <c r="Z36" s="57" t="str">
        <f>IF(Y36="","",IF(I$8="A",(RANK(Y36,Y$11:Y$355,1)+COUNTIF(Y$11:Y36,Y36)-1),(RANK(Y36,Y$11:Y$355)+COUNTIF(Y$11:Y36,Y36)-1)))</f>
        <v/>
      </c>
      <c r="AA36" s="242" t="str">
        <f>IF(L36="","",VLOOKUP($L36,classifications!C:I,7,FALSE))</f>
        <v>Predominantly Rural</v>
      </c>
      <c r="AB36" s="236">
        <f t="shared" si="14"/>
        <v>404.6</v>
      </c>
      <c r="AC36" s="236">
        <f>IF(AB36="","",IF($I$8="A",(RANK(AB36,AB$11:AB$355)+COUNTIF(AB$11:AB36,AB36)-1),(RANK(AB36,AB$11:AB$355,1)+COUNTIF(AB$11:AB36,AB36)-1)))</f>
        <v>55</v>
      </c>
      <c r="AD36" s="236"/>
      <c r="AE36" s="51" t="str">
        <f t="shared" si="24"/>
        <v/>
      </c>
      <c r="AG36" s="143"/>
      <c r="AH36" s="52"/>
      <c r="AI36" s="61" t="str">
        <f>IF(L36="","",VLOOKUP($L36,classifications!$C:$J,8,FALSE))</f>
        <v>Staffordshire</v>
      </c>
      <c r="AJ36" s="62" t="str">
        <f t="shared" si="5"/>
        <v/>
      </c>
      <c r="AK36" s="57" t="str">
        <f>IF(AJ36="","",IF(I$8="A",(RANK(AJ36,AJ$11:AJ$355,1)+COUNTIF(AJ$11:AJ36,AJ36)-1),(RANK(AJ36,AJ$11:AJ$355)+COUNTIF(AJ$11:AJ36,AJ36)-1)))</f>
        <v/>
      </c>
      <c r="AL36" s="52" t="str">
        <f t="shared" si="16"/>
        <v/>
      </c>
      <c r="AM36" s="31" t="str">
        <f t="shared" si="6"/>
        <v/>
      </c>
      <c r="AN36" s="31" t="str">
        <f t="shared" si="7"/>
        <v/>
      </c>
      <c r="AP36" s="61" t="str">
        <f>IF(L36="","",VLOOKUP($L36,classifications!$C:$E,3,FALSE))</f>
        <v>West Midlands</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455.9</v>
      </c>
      <c r="AY36" s="156"/>
      <c r="AZ36" s="44"/>
    </row>
    <row r="37" spans="1:52">
      <c r="A37" s="84" t="str">
        <f>$D$1&amp;27</f>
        <v>SD27</v>
      </c>
      <c r="B37" s="85" t="str">
        <f>IF(ISERROR(VLOOKUP(A37,classifications!A:C,3,FALSE)),0,VLOOKUP(A37,classifications!A:C,3,FALSE))</f>
        <v>Mendip</v>
      </c>
      <c r="C37" s="31" t="s">
        <v>263</v>
      </c>
      <c r="D37" s="49" t="str">
        <f>VLOOKUP($C37,classifications!$C:$J,4,FALSE)</f>
        <v>UA</v>
      </c>
      <c r="E37" s="49">
        <f>VLOOKUP(C37,classifications!C:K,9,FALSE)</f>
        <v>0</v>
      </c>
      <c r="F37" s="59">
        <f t="shared" si="0"/>
        <v>551.5</v>
      </c>
      <c r="G37" s="105"/>
      <c r="H37" s="60" t="str">
        <f t="shared" si="1"/>
        <v/>
      </c>
      <c r="I37" s="112" t="str">
        <f>IF(H37="","",IF($I$8="A",(RANK(H37,H$11:H$355,1)+COUNTIF(H$11:H37,H37)-1),(RANK(H37,H$11:H$355)+COUNTIF(H$11:H37,H37)-1)))</f>
        <v/>
      </c>
      <c r="J37" s="58"/>
      <c r="K37" s="51">
        <f t="shared" si="10"/>
        <v>27</v>
      </c>
      <c r="L37" s="59" t="str">
        <f t="shared" si="2"/>
        <v>Stratford-on-Avon</v>
      </c>
      <c r="M37" s="153">
        <f t="shared" si="3"/>
        <v>405.9</v>
      </c>
      <c r="N37" s="148">
        <f t="shared" si="23"/>
        <v>405.9</v>
      </c>
      <c r="O37" s="131">
        <f t="shared" si="11"/>
        <v>405.9</v>
      </c>
      <c r="P37" s="131" t="str">
        <f t="shared" si="19"/>
        <v/>
      </c>
      <c r="Q37" s="131" t="str">
        <f t="shared" si="20"/>
        <v/>
      </c>
      <c r="R37" s="127" t="str">
        <f t="shared" si="21"/>
        <v/>
      </c>
      <c r="S37" s="60" t="str">
        <f t="shared" si="12"/>
        <v/>
      </c>
      <c r="T37" s="228" t="str">
        <f>IF(L37="","",VLOOKUP(L37,classifications!C:K,9,FALSE))</f>
        <v>Sparse</v>
      </c>
      <c r="U37" s="235">
        <f t="shared" si="13"/>
        <v>405.9</v>
      </c>
      <c r="V37" s="236">
        <f>IF(U37="","",IF($I$8="A",(RANK(U37,U$11:U$355)+COUNTIF(U$11:U37,U37)-1),(RANK(U37,U$11:U$355,1)+COUNTIF(U$11:U37,U37)-1)))</f>
        <v>48</v>
      </c>
      <c r="W37" s="237"/>
      <c r="X37" s="61" t="str">
        <f>IF(L37="","",VLOOKUP($L37,classifications!$C:$J,6,FALSE))</f>
        <v xml:space="preserve">Mainly Rural (rural including hub towns &gt;=80%) </v>
      </c>
      <c r="Y37" s="49">
        <f t="shared" si="4"/>
        <v>405.9</v>
      </c>
      <c r="Z37" s="57">
        <f>IF(Y37="","",IF(I$8="A",(RANK(Y37,Y$11:Y$355,1)+COUNTIF(Y$11:Y37,Y37)-1),(RANK(Y37,Y$11:Y$355)+COUNTIF(Y$11:Y37,Y37)-1)))</f>
        <v>11</v>
      </c>
      <c r="AA37" s="242" t="str">
        <f>IF(L37="","",VLOOKUP($L37,classifications!C:I,7,FALSE))</f>
        <v>Predominantly Rural</v>
      </c>
      <c r="AB37" s="236">
        <f t="shared" si="14"/>
        <v>405.9</v>
      </c>
      <c r="AC37" s="236">
        <f>IF(AB37="","",IF($I$8="A",(RANK(AB37,AB$11:AB$355)+COUNTIF(AB$11:AB37,AB37)-1),(RANK(AB37,AB$11:AB$355,1)+COUNTIF(AB$11:AB37,AB37)-1)))</f>
        <v>54</v>
      </c>
      <c r="AD37" s="236"/>
      <c r="AE37" s="51" t="str">
        <f t="shared" si="24"/>
        <v/>
      </c>
      <c r="AG37" s="143"/>
      <c r="AH37" s="52"/>
      <c r="AI37" s="61" t="str">
        <f>IF(L37="","",VLOOKUP($L37,classifications!$C:$J,8,FALSE))</f>
        <v>Warwickshire</v>
      </c>
      <c r="AJ37" s="62" t="str">
        <f t="shared" si="5"/>
        <v/>
      </c>
      <c r="AK37" s="57" t="str">
        <f>IF(AJ37="","",IF(I$8="A",(RANK(AJ37,AJ$11:AJ$355,1)+COUNTIF(AJ$11:AJ37,AJ37)-1),(RANK(AJ37,AJ$11:AJ$355)+COUNTIF(AJ$11:AJ37,AJ37)-1)))</f>
        <v/>
      </c>
      <c r="AL37" s="52" t="str">
        <f t="shared" si="16"/>
        <v/>
      </c>
      <c r="AM37" s="31" t="str">
        <f t="shared" si="6"/>
        <v/>
      </c>
      <c r="AN37" s="31" t="str">
        <f t="shared" si="7"/>
        <v/>
      </c>
      <c r="AP37" s="61" t="str">
        <f>IF(L37="","",VLOOKUP($L37,classifications!$C:$E,3,FALSE))</f>
        <v>West Midlands</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551.5</v>
      </c>
      <c r="AY37" s="156"/>
      <c r="AZ37" s="44"/>
    </row>
    <row r="38" spans="1:52">
      <c r="A38" s="84" t="str">
        <f>$D$1&amp;28</f>
        <v>SD28</v>
      </c>
      <c r="B38" s="85" t="str">
        <f>IF(ISERROR(VLOOKUP(A38,classifications!A:C,3,FALSE)),0,VLOOKUP(A38,classifications!A:C,3,FALSE))</f>
        <v>Mid Devon</v>
      </c>
      <c r="C38" s="31" t="s">
        <v>225</v>
      </c>
      <c r="D38" s="49" t="str">
        <f>VLOOKUP($C38,classifications!$C:$J,4,FALSE)</f>
        <v>MD</v>
      </c>
      <c r="E38" s="49">
        <f>VLOOKUP(C38,classifications!C:K,9,FALSE)</f>
        <v>0</v>
      </c>
      <c r="F38" s="59">
        <f t="shared" si="0"/>
        <v>600.29999999999995</v>
      </c>
      <c r="G38" s="105"/>
      <c r="H38" s="60" t="str">
        <f t="shared" si="1"/>
        <v/>
      </c>
      <c r="I38" s="112" t="str">
        <f>IF(H38="","",IF($I$8="A",(RANK(H38,H$11:H$355,1)+COUNTIF(H$11:H38,H38)-1),(RANK(H38,H$11:H$355)+COUNTIF(H$11:H38,H38)-1)))</f>
        <v/>
      </c>
      <c r="J38" s="58"/>
      <c r="K38" s="51">
        <f t="shared" si="10"/>
        <v>28</v>
      </c>
      <c r="L38" s="59" t="str">
        <f t="shared" si="2"/>
        <v>Runnymede</v>
      </c>
      <c r="M38" s="153">
        <f t="shared" si="3"/>
        <v>411.9</v>
      </c>
      <c r="N38" s="148">
        <f t="shared" si="23"/>
        <v>411.9</v>
      </c>
      <c r="O38" s="131">
        <f t="shared" si="11"/>
        <v>411.9</v>
      </c>
      <c r="P38" s="131" t="str">
        <f t="shared" si="19"/>
        <v/>
      </c>
      <c r="Q38" s="131" t="str">
        <f t="shared" si="20"/>
        <v/>
      </c>
      <c r="R38" s="127" t="str">
        <f t="shared" si="21"/>
        <v/>
      </c>
      <c r="S38" s="60" t="str">
        <f t="shared" si="12"/>
        <v/>
      </c>
      <c r="T38" s="228">
        <f>IF(L38="","",VLOOKUP(L38,classifications!C:K,9,FALSE))</f>
        <v>0</v>
      </c>
      <c r="U38" s="235" t="str">
        <f t="shared" si="13"/>
        <v/>
      </c>
      <c r="V38" s="236" t="str">
        <f>IF(U38="","",IF($I$8="A",(RANK(U38,U$11:U$355)+COUNTIF(U$11:U38,U38)-1),(RANK(U38,U$11:U$355,1)+COUNTIF(U$11:U38,U38)-1)))</f>
        <v/>
      </c>
      <c r="W38" s="237"/>
      <c r="X38" s="61" t="str">
        <f>IF(L38="","",VLOOKUP($L38,classifications!$C:$J,6,FALSE))</f>
        <v>Urban with Major Conurbation</v>
      </c>
      <c r="Y38" s="49" t="str">
        <f t="shared" si="4"/>
        <v/>
      </c>
      <c r="Z38" s="57" t="str">
        <f>IF(Y38="","",IF(I$8="A",(RANK(Y38,Y$11:Y$355,1)+COUNTIF(Y$11:Y38,Y38)-1),(RANK(Y38,Y$11:Y$355)+COUNTIF(Y$11:Y38,Y38)-1)))</f>
        <v/>
      </c>
      <c r="AA38" s="242" t="str">
        <f>IF(L38="","",VLOOKUP($L38,classifications!C:I,7,FALSE))</f>
        <v>Predominantly Urban</v>
      </c>
      <c r="AB38" s="236" t="str">
        <f t="shared" si="14"/>
        <v/>
      </c>
      <c r="AC38" s="236" t="str">
        <f>IF(AB38="","",IF($I$8="A",(RANK(AB38,AB$11:AB$355)+COUNTIF(AB$11:AB38,AB38)-1),(RANK(AB38,AB$11:AB$355,1)+COUNTIF(AB$11:AB38,AB38)-1)))</f>
        <v/>
      </c>
      <c r="AD38" s="236"/>
      <c r="AE38" s="51" t="str">
        <f t="shared" si="24"/>
        <v/>
      </c>
      <c r="AG38" s="143"/>
      <c r="AH38" s="52"/>
      <c r="AI38" s="61" t="str">
        <f>IF(L38="","",VLOOKUP($L38,classifications!$C:$J,8,FALSE))</f>
        <v>Surrey</v>
      </c>
      <c r="AJ38" s="62" t="str">
        <f t="shared" si="5"/>
        <v/>
      </c>
      <c r="AK38" s="57" t="str">
        <f>IF(AJ38="","",IF(I$8="A",(RANK(AJ38,AJ$11:AJ$355,1)+COUNTIF(AJ$11:AJ38,AJ38)-1),(RANK(AJ38,AJ$11:AJ$355)+COUNTIF(AJ$11:AJ38,AJ38)-1)))</f>
        <v/>
      </c>
      <c r="AL38" s="52" t="str">
        <f t="shared" si="16"/>
        <v/>
      </c>
      <c r="AM38" s="31" t="str">
        <f t="shared" si="6"/>
        <v/>
      </c>
      <c r="AN38" s="31" t="str">
        <f t="shared" si="7"/>
        <v/>
      </c>
      <c r="AP38" s="61" t="str">
        <f>IF(L38="","",VLOOKUP($L38,classifications!$C:$E,3,FALSE))</f>
        <v>South East</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600.29999999999995</v>
      </c>
      <c r="AY38" s="156"/>
      <c r="AZ38" s="44"/>
    </row>
    <row r="39" spans="1:52">
      <c r="A39" s="84" t="str">
        <f>$D$1&amp;29</f>
        <v>SD29</v>
      </c>
      <c r="B39" s="85" t="str">
        <f>IF(ISERROR(VLOOKUP(A39,classifications!A:C,3,FALSE)),0,VLOOKUP(A39,classifications!A:C,3,FALSE))</f>
        <v>Mid Suffolk</v>
      </c>
      <c r="C39" s="31" t="s">
        <v>19</v>
      </c>
      <c r="D39" s="49" t="str">
        <f>VLOOKUP($C39,classifications!$C:$J,4,FALSE)</f>
        <v>SD</v>
      </c>
      <c r="E39" s="49" t="str">
        <f>VLOOKUP(C39,classifications!C:K,9,FALSE)</f>
        <v>Sparse</v>
      </c>
      <c r="F39" s="59">
        <f t="shared" si="0"/>
        <v>505.7</v>
      </c>
      <c r="G39" s="105"/>
      <c r="H39" s="60">
        <f t="shared" si="1"/>
        <v>505.7</v>
      </c>
      <c r="I39" s="112">
        <f>IF(H39="","",IF($I$8="A",(RANK(H39,H$11:H$355,1)+COUNTIF(H$11:H39,H39)-1),(RANK(H39,H$11:H$355)+COUNTIF(H$11:H39,H39)-1)))</f>
        <v>106</v>
      </c>
      <c r="J39" s="58"/>
      <c r="K39" s="51">
        <f t="shared" si="10"/>
        <v>29</v>
      </c>
      <c r="L39" s="59" t="str">
        <f t="shared" si="2"/>
        <v>Horsham</v>
      </c>
      <c r="M39" s="153">
        <f t="shared" si="3"/>
        <v>412.7</v>
      </c>
      <c r="N39" s="148">
        <f t="shared" si="23"/>
        <v>412.7</v>
      </c>
      <c r="O39" s="131">
        <f t="shared" si="11"/>
        <v>412.7</v>
      </c>
      <c r="P39" s="131" t="str">
        <f t="shared" si="19"/>
        <v/>
      </c>
      <c r="Q39" s="131" t="str">
        <f t="shared" si="20"/>
        <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 xml:space="preserve">Largely Rural (rural including hub towns 50-79%) </v>
      </c>
      <c r="Y39" s="49" t="str">
        <f t="shared" si="4"/>
        <v/>
      </c>
      <c r="Z39" s="57" t="str">
        <f>IF(Y39="","",IF(I$8="A",(RANK(Y39,Y$11:Y$355,1)+COUNTIF(Y$11:Y39,Y39)-1),(RANK(Y39,Y$11:Y$355)+COUNTIF(Y$11:Y39,Y39)-1)))</f>
        <v/>
      </c>
      <c r="AA39" s="242" t="str">
        <f>IF(L39="","",VLOOKUP($L39,classifications!C:I,7,FALSE))</f>
        <v>Predominantly Rural</v>
      </c>
      <c r="AB39" s="236">
        <f t="shared" si="14"/>
        <v>412.7</v>
      </c>
      <c r="AC39" s="236">
        <f>IF(AB39="","",IF($I$8="A",(RANK(AB39,AB$11:AB$355)+COUNTIF(AB$11:AB39,AB39)-1),(RANK(AB39,AB$11:AB$355,1)+COUNTIF(AB$11:AB39,AB39)-1)))</f>
        <v>53</v>
      </c>
      <c r="AD39" s="236"/>
      <c r="AE39" s="51" t="str">
        <f t="shared" si="24"/>
        <v/>
      </c>
      <c r="AG39" s="143"/>
      <c r="AH39" s="52"/>
      <c r="AI39" s="61" t="str">
        <f>IF(L39="","",VLOOKUP($L39,classifications!$C:$J,8,FALSE))</f>
        <v>West Sussex</v>
      </c>
      <c r="AJ39" s="62" t="str">
        <f t="shared" si="5"/>
        <v/>
      </c>
      <c r="AK39" s="57" t="str">
        <f>IF(AJ39="","",IF(I$8="A",(RANK(AJ39,AJ$11:AJ$355,1)+COUNTIF(AJ$11:AJ39,AJ39)-1),(RANK(AJ39,AJ$11:AJ$355)+COUNTIF(AJ$11:AJ39,AJ39)-1)))</f>
        <v/>
      </c>
      <c r="AL39" s="52" t="str">
        <f t="shared" si="16"/>
        <v/>
      </c>
      <c r="AM39" s="31" t="str">
        <f t="shared" si="6"/>
        <v/>
      </c>
      <c r="AN39" s="31" t="str">
        <f t="shared" si="7"/>
        <v/>
      </c>
      <c r="AP39" s="61" t="str">
        <f>IF(L39="","",VLOOKUP($L39,classifications!$C:$E,3,FALSE))</f>
        <v>South East</v>
      </c>
      <c r="AQ39" s="62" t="str">
        <f t="shared" si="17"/>
        <v/>
      </c>
      <c r="AR39" s="57" t="str">
        <f>IF(AQ39="","",IF(I$8="A",(RANK(AQ39,AQ$11:AQ$355,1)+COUNTIF(AQ$11:AQ39,AQ39)-1),(RANK(AQ39,AQ$11:AQ$355)+COUNTIF(AQ$11:AQ39,AQ39)-1)))</f>
        <v/>
      </c>
      <c r="AS39" s="52" t="str">
        <f t="shared" si="18"/>
        <v/>
      </c>
      <c r="AT39" s="57" t="str">
        <f t="shared" si="8"/>
        <v/>
      </c>
      <c r="AU39" s="62" t="str">
        <f t="shared" si="9"/>
        <v/>
      </c>
      <c r="AX39" s="44">
        <f>HLOOKUP($AX$9&amp;$AX$10,Data!$A$1:$ZZ$2000,(MATCH($C39,Data!$A$1:$A$2000,0)),FALSE)</f>
        <v>505.7</v>
      </c>
      <c r="AY39" s="156"/>
      <c r="AZ39" s="44"/>
    </row>
    <row r="40" spans="1:52">
      <c r="A40" s="84" t="str">
        <f>$D$1&amp;30</f>
        <v>SD30</v>
      </c>
      <c r="B40" s="85" t="str">
        <f>IF(ISERROR(VLOOKUP(A40,classifications!A:C,3,FALSE)),0,VLOOKUP(A40,classifications!A:C,3,FALSE))</f>
        <v>New Forest</v>
      </c>
      <c r="C40" s="31" t="s">
        <v>20</v>
      </c>
      <c r="D40" s="49" t="str">
        <f>VLOOKUP($C40,classifications!$C:$J,4,FALSE)</f>
        <v>SD</v>
      </c>
      <c r="E40" s="49" t="str">
        <f>VLOOKUP(C40,classifications!C:K,9,FALSE)</f>
        <v>Sparse</v>
      </c>
      <c r="F40" s="59">
        <f t="shared" si="0"/>
        <v>538.20000000000005</v>
      </c>
      <c r="G40" s="105"/>
      <c r="H40" s="60">
        <f t="shared" si="1"/>
        <v>538.20000000000005</v>
      </c>
      <c r="I40" s="112">
        <f>IF(H40="","",IF($I$8="A",(RANK(H40,H$11:H$355,1)+COUNTIF(H$11:H40,H40)-1),(RANK(H40,H$11:H$355)+COUNTIF(H$11:H40,H40)-1)))</f>
        <v>133</v>
      </c>
      <c r="J40" s="58"/>
      <c r="K40" s="51">
        <f t="shared" si="10"/>
        <v>30</v>
      </c>
      <c r="L40" s="59" t="str">
        <f t="shared" si="2"/>
        <v>Reigate &amp; Banstead</v>
      </c>
      <c r="M40" s="153">
        <f t="shared" si="3"/>
        <v>413.2</v>
      </c>
      <c r="N40" s="148">
        <f t="shared" si="23"/>
        <v>413.2</v>
      </c>
      <c r="O40" s="131">
        <f t="shared" si="11"/>
        <v>413.2</v>
      </c>
      <c r="P40" s="131" t="str">
        <f t="shared" si="19"/>
        <v/>
      </c>
      <c r="Q40" s="131" t="str">
        <f t="shared" si="20"/>
        <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City and Town</v>
      </c>
      <c r="Y40" s="49" t="str">
        <f t="shared" si="4"/>
        <v/>
      </c>
      <c r="Z40" s="57" t="str">
        <f>IF(Y40="","",IF(I$8="A",(RANK(Y40,Y$11:Y$355,1)+COUNTIF(Y$11:Y40,Y40)-1),(RANK(Y40,Y$11:Y$355)+COUNTIF(Y$11:Y40,Y40)-1)))</f>
        <v/>
      </c>
      <c r="AA40" s="242" t="str">
        <f>IF(L40="","",VLOOKUP($L40,classifications!C:I,7,FALSE))</f>
        <v>Predominantly Urban</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Surrey</v>
      </c>
      <c r="AJ40" s="62" t="str">
        <f t="shared" si="5"/>
        <v/>
      </c>
      <c r="AK40" s="57" t="str">
        <f>IF(AJ40="","",IF(I$8="A",(RANK(AJ40,AJ$11:AJ$355,1)+COUNTIF(AJ$11:AJ40,AJ40)-1),(RANK(AJ40,AJ$11:AJ$355)+COUNTIF(AJ$11:AJ40,AJ40)-1)))</f>
        <v/>
      </c>
      <c r="AL40" s="52" t="str">
        <f t="shared" si="16"/>
        <v/>
      </c>
      <c r="AM40" s="31" t="str">
        <f t="shared" si="6"/>
        <v/>
      </c>
      <c r="AN40" s="31" t="str">
        <f t="shared" si="7"/>
        <v/>
      </c>
      <c r="AP40" s="61" t="str">
        <f>IF(L40="","",VLOOKUP($L40,classifications!$C:$E,3,FALSE))</f>
        <v>South East</v>
      </c>
      <c r="AQ40" s="62" t="str">
        <f t="shared" si="17"/>
        <v/>
      </c>
      <c r="AR40" s="57" t="str">
        <f>IF(AQ40="","",IF(I$8="A",(RANK(AQ40,AQ$11:AQ$355,1)+COUNTIF(AQ$11:AQ40,AQ40)-1),(RANK(AQ40,AQ$11:AQ$355)+COUNTIF(AQ$11:AQ40,AQ40)-1)))</f>
        <v/>
      </c>
      <c r="AS40" s="52" t="str">
        <f t="shared" si="18"/>
        <v/>
      </c>
      <c r="AT40" s="57" t="str">
        <f t="shared" si="8"/>
        <v/>
      </c>
      <c r="AU40" s="62" t="str">
        <f t="shared" si="9"/>
        <v/>
      </c>
      <c r="AX40" s="44">
        <f>HLOOKUP($AX$9&amp;$AX$10,Data!$A$1:$ZZ$2000,(MATCH($C40,Data!$A$1:$A$2000,0)),FALSE)</f>
        <v>538.20000000000005</v>
      </c>
      <c r="AY40" s="156"/>
      <c r="AZ40" s="44"/>
    </row>
    <row r="41" spans="1:52">
      <c r="A41" s="84" t="str">
        <f>$D$1&amp;31</f>
        <v>SD31</v>
      </c>
      <c r="B41" s="85" t="str">
        <f>IF(ISERROR(VLOOKUP(A41,classifications!A:C,3,FALSE)),0,VLOOKUP(A41,classifications!A:C,3,FALSE))</f>
        <v>North Devon</v>
      </c>
      <c r="C41" s="31" t="s">
        <v>198</v>
      </c>
      <c r="D41" s="49" t="str">
        <f>VLOOKUP($C41,classifications!$C:$J,4,FALSE)</f>
        <v>L</v>
      </c>
      <c r="E41" s="49">
        <f>VLOOKUP(C41,classifications!C:K,9,FALSE)</f>
        <v>0</v>
      </c>
      <c r="F41" s="59">
        <f t="shared" si="0"/>
        <v>542.20000000000005</v>
      </c>
      <c r="G41" s="105"/>
      <c r="H41" s="60" t="str">
        <f t="shared" si="1"/>
        <v/>
      </c>
      <c r="I41" s="112" t="str">
        <f>IF(H41="","",IF($I$8="A",(RANK(H41,H$11:H$355,1)+COUNTIF(H$11:H41,H41)-1),(RANK(H41,H$11:H$355)+COUNTIF(H$11:H41,H41)-1)))</f>
        <v/>
      </c>
      <c r="J41" s="58"/>
      <c r="K41" s="51">
        <f t="shared" si="10"/>
        <v>31</v>
      </c>
      <c r="L41" s="59" t="str">
        <f t="shared" si="2"/>
        <v>Dover</v>
      </c>
      <c r="M41" s="153">
        <f t="shared" si="3"/>
        <v>416.3</v>
      </c>
      <c r="N41" s="148">
        <f t="shared" si="23"/>
        <v>416.3</v>
      </c>
      <c r="O41" s="131">
        <f t="shared" si="11"/>
        <v>416.3</v>
      </c>
      <c r="P41" s="131" t="str">
        <f t="shared" si="19"/>
        <v/>
      </c>
      <c r="Q41" s="131" t="str">
        <f t="shared" si="20"/>
        <v/>
      </c>
      <c r="R41" s="127" t="str">
        <f t="shared" si="21"/>
        <v/>
      </c>
      <c r="S41" s="60" t="str">
        <f t="shared" si="12"/>
        <v/>
      </c>
      <c r="T41" s="228">
        <f>IF(L41="","",VLOOKUP(L41,classifications!C:K,9,FALSE))</f>
        <v>0</v>
      </c>
      <c r="U41" s="235" t="str">
        <f t="shared" si="13"/>
        <v/>
      </c>
      <c r="V41" s="236" t="str">
        <f>IF(U41="","",IF($I$8="A",(RANK(U41,U$11:U$355)+COUNTIF(U$11:U41,U41)-1),(RANK(U41,U$11:U$355,1)+COUNTIF(U$11:U41,U41)-1)))</f>
        <v/>
      </c>
      <c r="W41" s="237"/>
      <c r="X41" s="61" t="str">
        <f>IF(L41="","",VLOOKUP($L41,classifications!$C:$J,6,FALSE))</f>
        <v>Urban with Significant Rural (rural including hub towns 26-49%)</v>
      </c>
      <c r="Y41" s="49" t="str">
        <f t="shared" si="4"/>
        <v/>
      </c>
      <c r="Z41" s="57" t="str">
        <f>IF(Y41="","",IF(I$8="A",(RANK(Y41,Y$11:Y$355,1)+COUNTIF(Y$11:Y41,Y41)-1),(RANK(Y41,Y$11:Y$355)+COUNTIF(Y$11:Y41,Y41)-1)))</f>
        <v/>
      </c>
      <c r="AA41" s="242" t="str">
        <f>IF(L41="","",VLOOKUP($L41,classifications!C:I,7,FALSE))</f>
        <v>Significant Rural</v>
      </c>
      <c r="AB41" s="236" t="str">
        <f t="shared" si="14"/>
        <v/>
      </c>
      <c r="AC41" s="236" t="str">
        <f>IF(AB41="","",IF($I$8="A",(RANK(AB41,AB$11:AB$355)+COUNTIF(AB$11:AB41,AB41)-1),(RANK(AB41,AB$11:AB$355,1)+COUNTIF(AB$11:AB41,AB41)-1)))</f>
        <v/>
      </c>
      <c r="AD41" s="236"/>
      <c r="AE41" s="51" t="str">
        <f t="shared" si="24"/>
        <v/>
      </c>
      <c r="AG41" s="143"/>
      <c r="AH41" s="52"/>
      <c r="AI41" s="61" t="str">
        <f>IF(L41="","",VLOOKUP($L41,classifications!$C:$J,8,FALSE))</f>
        <v>Kent</v>
      </c>
      <c r="AJ41" s="62" t="str">
        <f t="shared" si="5"/>
        <v/>
      </c>
      <c r="AK41" s="57" t="str">
        <f>IF(AJ41="","",IF(I$8="A",(RANK(AJ41,AJ$11:AJ$355,1)+COUNTIF(AJ$11:AJ41,AJ41)-1),(RANK(AJ41,AJ$11:AJ$355)+COUNTIF(AJ$11:AJ41,AJ41)-1)))</f>
        <v/>
      </c>
      <c r="AL41" s="52" t="str">
        <f t="shared" si="16"/>
        <v/>
      </c>
      <c r="AM41" s="31" t="str">
        <f t="shared" si="6"/>
        <v/>
      </c>
      <c r="AN41" s="31" t="str">
        <f t="shared" si="7"/>
        <v/>
      </c>
      <c r="AP41" s="61" t="str">
        <f>IF(L41="","",VLOOKUP($L41,classifications!$C:$E,3,FALSE))</f>
        <v>South East</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542.20000000000005</v>
      </c>
      <c r="AY41" s="156"/>
      <c r="AZ41" s="44"/>
    </row>
    <row r="42" spans="1:52">
      <c r="A42" s="84" t="str">
        <f>$D$1&amp;32</f>
        <v>SD32</v>
      </c>
      <c r="B42" s="85" t="str">
        <f>IF(ISERROR(VLOOKUP(A42,classifications!A:C,3,FALSE)),0,VLOOKUP(A42,classifications!A:C,3,FALSE))</f>
        <v>North Kesteven</v>
      </c>
      <c r="C42" s="31" t="s">
        <v>21</v>
      </c>
      <c r="D42" s="49" t="str">
        <f>VLOOKUP($C42,classifications!$C:$J,4,FALSE)</f>
        <v>SD</v>
      </c>
      <c r="E42" s="49">
        <f>VLOOKUP(C42,classifications!C:K,9,FALSE)</f>
        <v>0</v>
      </c>
      <c r="F42" s="59">
        <f t="shared" si="0"/>
        <v>539.9</v>
      </c>
      <c r="G42" s="105"/>
      <c r="H42" s="60">
        <f t="shared" si="1"/>
        <v>539.9</v>
      </c>
      <c r="I42" s="112">
        <f>IF(H42="","",IF($I$8="A",(RANK(H42,H$11:H$355,1)+COUNTIF(H$11:H42,H42)-1),(RANK(H42,H$11:H$355)+COUNTIF(H$11:H42,H42)-1)))</f>
        <v>139</v>
      </c>
      <c r="J42" s="58"/>
      <c r="K42" s="51">
        <f t="shared" si="10"/>
        <v>32</v>
      </c>
      <c r="L42" s="59" t="str">
        <f t="shared" si="2"/>
        <v>Dacorum</v>
      </c>
      <c r="M42" s="153">
        <f t="shared" si="3"/>
        <v>420.5</v>
      </c>
      <c r="N42" s="148">
        <f t="shared" si="23"/>
        <v>420.5</v>
      </c>
      <c r="O42" s="131">
        <f t="shared" si="11"/>
        <v>420.5</v>
      </c>
      <c r="P42" s="131" t="str">
        <f t="shared" si="19"/>
        <v/>
      </c>
      <c r="Q42" s="131" t="str">
        <f t="shared" si="20"/>
        <v/>
      </c>
      <c r="R42" s="127" t="str">
        <f t="shared" si="21"/>
        <v/>
      </c>
      <c r="S42" s="60" t="str">
        <f t="shared" si="12"/>
        <v/>
      </c>
      <c r="T42" s="228">
        <f>IF(L42="","",VLOOKUP(L42,classifications!C:K,9,FALSE))</f>
        <v>0</v>
      </c>
      <c r="U42" s="235" t="str">
        <f t="shared" si="13"/>
        <v/>
      </c>
      <c r="V42" s="236" t="str">
        <f>IF(U42="","",IF($I$8="A",(RANK(U42,U$11:U$355)+COUNTIF(U$11:U42,U42)-1),(RANK(U42,U$11:U$355,1)+COUNTIF(U$11:U42,U42)-1)))</f>
        <v/>
      </c>
      <c r="W42" s="237"/>
      <c r="X42" s="61" t="str">
        <f>IF(L42="","",VLOOKUP($L42,classifications!$C:$J,6,FALSE))</f>
        <v>Urban with Significant Rural (rural including hub towns 26-49%)</v>
      </c>
      <c r="Y42" s="49" t="str">
        <f t="shared" si="4"/>
        <v/>
      </c>
      <c r="Z42" s="57" t="str">
        <f>IF(Y42="","",IF(I$8="A",(RANK(Y42,Y$11:Y$355,1)+COUNTIF(Y$11:Y42,Y42)-1),(RANK(Y42,Y$11:Y$355)+COUNTIF(Y$11:Y42,Y42)-1)))</f>
        <v/>
      </c>
      <c r="AA42" s="242" t="str">
        <f>IF(L42="","",VLOOKUP($L42,classifications!C:I,7,FALSE))</f>
        <v>Significant Rural</v>
      </c>
      <c r="AB42" s="236" t="str">
        <f t="shared" si="14"/>
        <v/>
      </c>
      <c r="AC42" s="236" t="str">
        <f>IF(AB42="","",IF($I$8="A",(RANK(AB42,AB$11:AB$355)+COUNTIF(AB$11:AB42,AB42)-1),(RANK(AB42,AB$11:AB$355,1)+COUNTIF(AB$11:AB42,AB42)-1)))</f>
        <v/>
      </c>
      <c r="AD42" s="236"/>
      <c r="AE42" s="51" t="str">
        <f t="shared" si="24"/>
        <v/>
      </c>
      <c r="AG42" s="143"/>
      <c r="AH42" s="52"/>
      <c r="AI42" s="61" t="str">
        <f>IF(L42="","",VLOOKUP($L42,classifications!$C:$J,8,FALSE))</f>
        <v>Hertfordshire</v>
      </c>
      <c r="AJ42" s="62" t="str">
        <f t="shared" si="5"/>
        <v/>
      </c>
      <c r="AK42" s="57" t="str">
        <f>IF(AJ42="","",IF(I$8="A",(RANK(AJ42,AJ$11:AJ$355,1)+COUNTIF(AJ$11:AJ42,AJ42)-1),(RANK(AJ42,AJ$11:AJ$355)+COUNTIF(AJ$11:AJ42,AJ42)-1)))</f>
        <v/>
      </c>
      <c r="AL42" s="52" t="str">
        <f t="shared" si="16"/>
        <v/>
      </c>
      <c r="AM42" s="31" t="str">
        <f t="shared" si="6"/>
        <v/>
      </c>
      <c r="AN42" s="31" t="str">
        <f t="shared" si="7"/>
        <v/>
      </c>
      <c r="AP42" s="61" t="str">
        <f>IF(L42="","",VLOOKUP($L42,classifications!$C:$E,3,FALSE))</f>
        <v>East of England</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539.9</v>
      </c>
      <c r="AY42" s="156"/>
      <c r="AZ42" s="44"/>
    </row>
    <row r="43" spans="1:52">
      <c r="A43" s="84" t="str">
        <f>$D$1&amp;33</f>
        <v>SD33</v>
      </c>
      <c r="B43" s="85" t="str">
        <f>IF(ISERROR(VLOOKUP(A43,classifications!A:C,3,FALSE)),0,VLOOKUP(A43,classifications!A:C,3,FALSE))</f>
        <v>North Norfolk</v>
      </c>
      <c r="C43" s="31" t="s">
        <v>811</v>
      </c>
      <c r="D43" s="49" t="str">
        <f>VLOOKUP($C43,classifications!$C:$J,4,FALSE)</f>
        <v>UA</v>
      </c>
      <c r="E43" s="49">
        <f>VLOOKUP(C43,classifications!C:K,9,FALSE)</f>
        <v>0</v>
      </c>
      <c r="F43" s="59">
        <f t="shared" si="0"/>
        <v>567.1</v>
      </c>
      <c r="G43" s="105"/>
      <c r="H43" s="60" t="str">
        <f t="shared" si="1"/>
        <v/>
      </c>
      <c r="I43" s="112" t="str">
        <f>IF(H43="","",IF($I$8="A",(RANK(H43,H$11:H$355,1)+COUNTIF(H$11:H43,H43)-1),(RANK(H43,H$11:H$355)+COUNTIF(H$11:H43,H43)-1)))</f>
        <v/>
      </c>
      <c r="J43" s="58"/>
      <c r="K43" s="51">
        <f t="shared" si="10"/>
        <v>33</v>
      </c>
      <c r="L43" s="59" t="str">
        <f t="shared" si="2"/>
        <v>North Devon</v>
      </c>
      <c r="M43" s="153">
        <f t="shared" si="3"/>
        <v>423.1</v>
      </c>
      <c r="N43" s="148">
        <f t="shared" si="23"/>
        <v>423.1</v>
      </c>
      <c r="O43" s="131">
        <f t="shared" si="11"/>
        <v>423.1</v>
      </c>
      <c r="P43" s="131" t="str">
        <f t="shared" si="19"/>
        <v/>
      </c>
      <c r="Q43" s="131" t="str">
        <f t="shared" si="20"/>
        <v/>
      </c>
      <c r="R43" s="127" t="str">
        <f t="shared" si="21"/>
        <v/>
      </c>
      <c r="S43" s="60" t="str">
        <f t="shared" si="12"/>
        <v/>
      </c>
      <c r="T43" s="228" t="str">
        <f>IF(L43="","",VLOOKUP(L43,classifications!C:K,9,FALSE))</f>
        <v>Sparse</v>
      </c>
      <c r="U43" s="235">
        <f t="shared" ref="U43:U74" si="25">IF(T43="Sparse",M43,"")</f>
        <v>423.1</v>
      </c>
      <c r="V43" s="236">
        <f>IF(U43="","",IF($I$8="A",(RANK(U43,U$11:U$355)+COUNTIF(U$11:U43,U43)-1),(RANK(U43,U$11:U$355,1)+COUNTIF(U$11:U43,U43)-1)))</f>
        <v>47</v>
      </c>
      <c r="W43" s="237"/>
      <c r="X43" s="61" t="str">
        <f>IF(L43="","",VLOOKUP($L43,classifications!$C:$J,6,FALSE))</f>
        <v xml:space="preserve">Largely Rural (rural including hub towns 50-79%) </v>
      </c>
      <c r="Y43" s="49" t="str">
        <f t="shared" si="4"/>
        <v/>
      </c>
      <c r="Z43" s="57" t="str">
        <f>IF(Y43="","",IF(I$8="A",(RANK(Y43,Y$11:Y$355,1)+COUNTIF(Y$11:Y43,Y43)-1),(RANK(Y43,Y$11:Y$355)+COUNTIF(Y$11:Y43,Y43)-1)))</f>
        <v/>
      </c>
      <c r="AA43" s="242" t="str">
        <f>IF(L43="","",VLOOKUP($L43,classifications!C:I,7,FALSE))</f>
        <v>Predominantly Rural</v>
      </c>
      <c r="AB43" s="236">
        <f t="shared" si="14"/>
        <v>423.1</v>
      </c>
      <c r="AC43" s="236">
        <f>IF(AB43="","",IF($I$8="A",(RANK(AB43,AB$11:AB$355)+COUNTIF(AB$11:AB43,AB43)-1),(RANK(AB43,AB$11:AB$355,1)+COUNTIF(AB$11:AB43,AB43)-1)))</f>
        <v>52</v>
      </c>
      <c r="AD43" s="236"/>
      <c r="AE43" s="51" t="str">
        <f t="shared" si="24"/>
        <v/>
      </c>
      <c r="AG43" s="143"/>
      <c r="AH43" s="52"/>
      <c r="AI43" s="61" t="str">
        <f>IF(L43="","",VLOOKUP($L43,classifications!$C:$J,8,FALSE))</f>
        <v>Devon</v>
      </c>
      <c r="AJ43" s="62" t="str">
        <f t="shared" si="5"/>
        <v/>
      </c>
      <c r="AK43" s="57" t="str">
        <f>IF(AJ43="","",IF(I$8="A",(RANK(AJ43,AJ$11:AJ$355,1)+COUNTIF(AJ$11:AJ43,AJ43)-1),(RANK(AJ43,AJ$11:AJ$355)+COUNTIF(AJ$11:AJ43,AJ43)-1)))</f>
        <v/>
      </c>
      <c r="AL43" s="52" t="str">
        <f t="shared" si="16"/>
        <v/>
      </c>
      <c r="AM43" s="31" t="str">
        <f t="shared" si="6"/>
        <v/>
      </c>
      <c r="AN43" s="31" t="str">
        <f t="shared" si="7"/>
        <v/>
      </c>
      <c r="AP43" s="61" t="str">
        <f>IF(L43="","",VLOOKUP($L43,classifications!$C:$E,3,FALSE))</f>
        <v>South West</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567.1</v>
      </c>
      <c r="AY43" s="156"/>
      <c r="AZ43" s="44"/>
    </row>
    <row r="44" spans="1:52">
      <c r="A44" s="84" t="str">
        <f>$D$1&amp;34</f>
        <v>SD34</v>
      </c>
      <c r="B44" s="85" t="str">
        <f>IF(ISERROR(VLOOKUP(A44,classifications!A:C,3,FALSE)),0,VLOOKUP(A44,classifications!A:C,3,FALSE))</f>
        <v>North West Leicestershire</v>
      </c>
      <c r="C44" s="31" t="s">
        <v>815</v>
      </c>
      <c r="D44" s="49" t="str">
        <f>VLOOKUP($C44,classifications!$C:$J,4,FALSE)</f>
        <v>UA</v>
      </c>
      <c r="E44" s="49">
        <f>VLOOKUP(C44,classifications!C:K,9,FALSE)</f>
        <v>0</v>
      </c>
      <c r="F44" s="59">
        <f t="shared" si="0"/>
        <v>450.2</v>
      </c>
      <c r="G44" s="105"/>
      <c r="H44" s="60" t="str">
        <f t="shared" si="1"/>
        <v/>
      </c>
      <c r="I44" s="112" t="str">
        <f>IF(H44="","",IF($I$8="A",(RANK(H44,H$11:H$355,1)+COUNTIF(H$11:H44,H44)-1),(RANK(H44,H$11:H$355)+COUNTIF(H$11:H44,H44)-1)))</f>
        <v/>
      </c>
      <c r="J44" s="58"/>
      <c r="K44" s="51">
        <f t="shared" si="10"/>
        <v>34</v>
      </c>
      <c r="L44" s="59" t="str">
        <f t="shared" si="2"/>
        <v>East Northamptonshire</v>
      </c>
      <c r="M44" s="153">
        <f t="shared" si="3"/>
        <v>425</v>
      </c>
      <c r="N44" s="148">
        <f t="shared" si="23"/>
        <v>425</v>
      </c>
      <c r="O44" s="131">
        <f t="shared" si="11"/>
        <v>425</v>
      </c>
      <c r="P44" s="131" t="str">
        <f t="shared" si="19"/>
        <v/>
      </c>
      <c r="Q44" s="131" t="str">
        <f t="shared" si="20"/>
        <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 xml:space="preserve">Largely Rural (rural including hub towns 50-79%) </v>
      </c>
      <c r="Y44" s="49" t="str">
        <f t="shared" si="4"/>
        <v/>
      </c>
      <c r="Z44" s="57" t="str">
        <f>IF(Y44="","",IF(I$8="A",(RANK(Y44,Y$11:Y$355,1)+COUNTIF(Y$11:Y44,Y44)-1),(RANK(Y44,Y$11:Y$355)+COUNTIF(Y$11:Y44,Y44)-1)))</f>
        <v/>
      </c>
      <c r="AA44" s="242" t="str">
        <f>IF(L44="","",VLOOKUP($L44,classifications!C:I,7,FALSE))</f>
        <v>Predominantly Rural</v>
      </c>
      <c r="AB44" s="236">
        <f t="shared" si="14"/>
        <v>425</v>
      </c>
      <c r="AC44" s="236">
        <f>IF(AB44="","",IF($I$8="A",(RANK(AB44,AB$11:AB$355)+COUNTIF(AB$11:AB44,AB44)-1),(RANK(AB44,AB$11:AB$355,1)+COUNTIF(AB$11:AB44,AB44)-1)))</f>
        <v>51</v>
      </c>
      <c r="AD44" s="236"/>
      <c r="AE44" s="51" t="str">
        <f t="shared" si="24"/>
        <v/>
      </c>
      <c r="AG44" s="143"/>
      <c r="AH44" s="52"/>
      <c r="AI44" s="61" t="str">
        <f>IF(L44="","",VLOOKUP($L44,classifications!$C:$J,8,FALSE))</f>
        <v>Northamptonshire</v>
      </c>
      <c r="AJ44" s="62" t="str">
        <f t="shared" si="5"/>
        <v/>
      </c>
      <c r="AK44" s="57" t="str">
        <f>IF(AJ44="","",IF(I$8="A",(RANK(AJ44,AJ$11:AJ$355,1)+COUNTIF(AJ$11:AJ44,AJ44)-1),(RANK(AJ44,AJ$11:AJ$355)+COUNTIF(AJ$11:AJ44,AJ44)-1)))</f>
        <v/>
      </c>
      <c r="AL44" s="52" t="str">
        <f t="shared" si="16"/>
        <v/>
      </c>
      <c r="AM44" s="31" t="str">
        <f t="shared" si="6"/>
        <v/>
      </c>
      <c r="AN44" s="31" t="str">
        <f t="shared" si="7"/>
        <v/>
      </c>
      <c r="AP44" s="61" t="str">
        <f>IF(L44="","",VLOOKUP($L44,classifications!$C:$E,3,FALSE))</f>
        <v>East Midlands</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450.2</v>
      </c>
      <c r="AY44" s="156"/>
      <c r="AZ44" s="44"/>
    </row>
    <row r="45" spans="1:52">
      <c r="A45" s="84" t="str">
        <f>$D$1&amp;35</f>
        <v>SD35</v>
      </c>
      <c r="B45" s="85" t="str">
        <f>IF(ISERROR(VLOOKUP(A45,classifications!A:C,3,FALSE)),0,VLOOKUP(A45,classifications!A:C,3,FALSE))</f>
        <v>Ribble Valley</v>
      </c>
      <c r="C45" s="31" t="s">
        <v>22</v>
      </c>
      <c r="D45" s="49" t="str">
        <f>VLOOKUP($C45,classifications!$C:$J,4,FALSE)</f>
        <v>SD</v>
      </c>
      <c r="E45" s="49">
        <f>VLOOKUP(C45,classifications!C:K,9,FALSE)</f>
        <v>0</v>
      </c>
      <c r="F45" s="59">
        <f t="shared" si="0"/>
        <v>464.6</v>
      </c>
      <c r="G45" s="105"/>
      <c r="H45" s="60">
        <f t="shared" si="1"/>
        <v>464.6</v>
      </c>
      <c r="I45" s="112">
        <f>IF(H45="","",IF($I$8="A",(RANK(H45,H$11:H$355,1)+COUNTIF(H$11:H45,H45)-1),(RANK(H45,H$11:H$355)+COUNTIF(H$11:H45,H45)-1)))</f>
        <v>68</v>
      </c>
      <c r="J45" s="58"/>
      <c r="K45" s="51">
        <f t="shared" si="10"/>
        <v>35</v>
      </c>
      <c r="L45" s="59" t="str">
        <f t="shared" si="2"/>
        <v>Adur</v>
      </c>
      <c r="M45" s="153">
        <f t="shared" si="3"/>
        <v>425.8</v>
      </c>
      <c r="N45" s="148">
        <f t="shared" si="23"/>
        <v>425.8</v>
      </c>
      <c r="O45" s="131">
        <f t="shared" si="11"/>
        <v>425.8</v>
      </c>
      <c r="P45" s="131" t="str">
        <f t="shared" si="19"/>
        <v/>
      </c>
      <c r="Q45" s="131" t="str">
        <f t="shared" si="20"/>
        <v/>
      </c>
      <c r="R45" s="127" t="str">
        <f t="shared" si="21"/>
        <v/>
      </c>
      <c r="S45" s="60" t="str">
        <f t="shared" si="12"/>
        <v/>
      </c>
      <c r="T45" s="228">
        <f>IF(L45="","",VLOOKUP(L45,classifications!C:K,9,FALSE))</f>
        <v>0</v>
      </c>
      <c r="U45" s="235" t="str">
        <f t="shared" si="25"/>
        <v/>
      </c>
      <c r="V45" s="236" t="str">
        <f>IF(U45="","",IF($I$8="A",(RANK(U45,U$11:U$355)+COUNTIF(U$11:U45,U45)-1),(RANK(U45,U$11:U$355,1)+COUNTIF(U$11:U45,U45)-1)))</f>
        <v/>
      </c>
      <c r="W45" s="237"/>
      <c r="X45" s="61" t="str">
        <f>IF(L45="","",VLOOKUP($L45,classifications!$C:$J,6,FALSE))</f>
        <v>Urban with City and Town</v>
      </c>
      <c r="Y45" s="49" t="str">
        <f t="shared" si="4"/>
        <v/>
      </c>
      <c r="Z45" s="57" t="str">
        <f>IF(Y45="","",IF(I$8="A",(RANK(Y45,Y$11:Y$355,1)+COUNTIF(Y$11:Y45,Y45)-1),(RANK(Y45,Y$11:Y$355)+COUNTIF(Y$11:Y45,Y45)-1)))</f>
        <v/>
      </c>
      <c r="AA45" s="242" t="str">
        <f>IF(L45="","",VLOOKUP($L45,classifications!C:I,7,FALSE))</f>
        <v>Predominantly Urban</v>
      </c>
      <c r="AB45" s="236" t="str">
        <f t="shared" si="14"/>
        <v/>
      </c>
      <c r="AC45" s="236" t="str">
        <f>IF(AB45="","",IF($I$8="A",(RANK(AB45,AB$11:AB$355)+COUNTIF(AB$11:AB45,AB45)-1),(RANK(AB45,AB$11:AB$355,1)+COUNTIF(AB$11:AB45,AB45)-1)))</f>
        <v/>
      </c>
      <c r="AD45" s="236"/>
      <c r="AE45" s="51" t="str">
        <f t="shared" si="24"/>
        <v/>
      </c>
      <c r="AG45" s="143"/>
      <c r="AH45" s="52"/>
      <c r="AI45" s="61" t="str">
        <f>IF(L45="","",VLOOKUP($L45,classifications!$C:$J,8,FALSE))</f>
        <v>West Sussex</v>
      </c>
      <c r="AJ45" s="62" t="str">
        <f t="shared" si="5"/>
        <v/>
      </c>
      <c r="AK45" s="57" t="str">
        <f>IF(AJ45="","",IF(I$8="A",(RANK(AJ45,AJ$11:AJ$355,1)+COUNTIF(AJ$11:AJ45,AJ45)-1),(RANK(AJ45,AJ$11:AJ$355)+COUNTIF(AJ$11:AJ45,AJ45)-1)))</f>
        <v/>
      </c>
      <c r="AL45" s="52" t="str">
        <f t="shared" si="16"/>
        <v/>
      </c>
      <c r="AM45" s="31" t="str">
        <f t="shared" si="6"/>
        <v/>
      </c>
      <c r="AN45" s="31" t="str">
        <f t="shared" si="7"/>
        <v/>
      </c>
      <c r="AP45" s="61" t="str">
        <f>IF(L45="","",VLOOKUP($L45,classifications!$C:$E,3,FALSE))</f>
        <v>South East</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464.6</v>
      </c>
      <c r="AY45" s="156"/>
      <c r="AZ45" s="44"/>
    </row>
    <row r="46" spans="1:52">
      <c r="A46" s="84" t="str">
        <f>$D$1&amp;36</f>
        <v>SD36</v>
      </c>
      <c r="B46" s="85" t="str">
        <f>IF(ISERROR(VLOOKUP(A46,classifications!A:C,3,FALSE)),0,VLOOKUP(A46,classifications!A:C,3,FALSE))</f>
        <v>Richmondshire</v>
      </c>
      <c r="C46" s="31" t="s">
        <v>199</v>
      </c>
      <c r="D46" s="49" t="str">
        <f>VLOOKUP($C46,classifications!$C:$J,4,FALSE)</f>
        <v>L</v>
      </c>
      <c r="E46" s="49">
        <f>VLOOKUP(C46,classifications!C:K,9,FALSE)</f>
        <v>0</v>
      </c>
      <c r="F46" s="59">
        <f t="shared" si="0"/>
        <v>526.79999999999995</v>
      </c>
      <c r="G46" s="105"/>
      <c r="H46" s="60" t="str">
        <f t="shared" si="1"/>
        <v/>
      </c>
      <c r="I46" s="112" t="str">
        <f>IF(H46="","",IF($I$8="A",(RANK(H46,H$11:H$355,1)+COUNTIF(H$11:H46,H46)-1),(RANK(H46,H$11:H$355)+COUNTIF(H$11:H46,H46)-1)))</f>
        <v/>
      </c>
      <c r="J46" s="58"/>
      <c r="K46" s="51">
        <f t="shared" si="10"/>
        <v>36</v>
      </c>
      <c r="L46" s="59" t="str">
        <f t="shared" si="2"/>
        <v>Ashford</v>
      </c>
      <c r="M46" s="153">
        <f t="shared" si="3"/>
        <v>425.8</v>
      </c>
      <c r="N46" s="148">
        <f t="shared" si="23"/>
        <v>425.8</v>
      </c>
      <c r="O46" s="131">
        <f t="shared" si="11"/>
        <v>425.8</v>
      </c>
      <c r="P46" s="131" t="str">
        <f t="shared" si="19"/>
        <v/>
      </c>
      <c r="Q46" s="131" t="str">
        <f t="shared" si="20"/>
        <v/>
      </c>
      <c r="R46" s="127" t="str">
        <f t="shared" si="21"/>
        <v/>
      </c>
      <c r="S46" s="60" t="str">
        <f t="shared" si="12"/>
        <v/>
      </c>
      <c r="T46" s="228" t="str">
        <f>IF(L46="","",VLOOKUP(L46,classifications!C:K,9,FALSE))</f>
        <v>Sparse</v>
      </c>
      <c r="U46" s="235">
        <f t="shared" si="25"/>
        <v>425.8</v>
      </c>
      <c r="V46" s="236">
        <f>IF(U46="","",IF($I$8="A",(RANK(U46,U$11:U$355)+COUNTIF(U$11:U46,U46)-1),(RANK(U46,U$11:U$355,1)+COUNTIF(U$11:U46,U46)-1)))</f>
        <v>46</v>
      </c>
      <c r="W46" s="237"/>
      <c r="X46" s="61" t="str">
        <f>IF(L46="","",VLOOKUP($L46,classifications!$C:$J,6,FALSE))</f>
        <v>Urban with Significant Rural (rural including hub towns 26-49%)</v>
      </c>
      <c r="Y46" s="49" t="str">
        <f t="shared" si="4"/>
        <v/>
      </c>
      <c r="Z46" s="57" t="str">
        <f>IF(Y46="","",IF(I$8="A",(RANK(Y46,Y$11:Y$355,1)+COUNTIF(Y$11:Y46,Y46)-1),(RANK(Y46,Y$11:Y$355)+COUNTIF(Y$11:Y46,Y46)-1)))</f>
        <v/>
      </c>
      <c r="AA46" s="242" t="str">
        <f>IF(L46="","",VLOOKUP($L46,classifications!C:I,7,FALSE))</f>
        <v>Significant Rural</v>
      </c>
      <c r="AB46" s="236" t="str">
        <f t="shared" si="14"/>
        <v/>
      </c>
      <c r="AC46" s="236" t="str">
        <f>IF(AB46="","",IF($I$8="A",(RANK(AB46,AB$11:AB$355)+COUNTIF(AB$11:AB46,AB46)-1),(RANK(AB46,AB$11:AB$355,1)+COUNTIF(AB$11:AB46,AB46)-1)))</f>
        <v/>
      </c>
      <c r="AD46" s="236"/>
      <c r="AE46" s="51" t="str">
        <f t="shared" si="24"/>
        <v/>
      </c>
      <c r="AG46" s="143"/>
      <c r="AH46" s="52"/>
      <c r="AI46" s="61" t="str">
        <f>IF(L46="","",VLOOKUP($L46,classifications!$C:$J,8,FALSE))</f>
        <v>Kent</v>
      </c>
      <c r="AJ46" s="62" t="str">
        <f t="shared" si="5"/>
        <v/>
      </c>
      <c r="AK46" s="57" t="str">
        <f>IF(AJ46="","",IF(I$8="A",(RANK(AJ46,AJ$11:AJ$355,1)+COUNTIF(AJ$11:AJ46,AJ46)-1),(RANK(AJ46,AJ$11:AJ$355)+COUNTIF(AJ$11:AJ46,AJ46)-1)))</f>
        <v/>
      </c>
      <c r="AL46" s="52" t="str">
        <f t="shared" si="16"/>
        <v/>
      </c>
      <c r="AM46" s="31" t="str">
        <f t="shared" si="6"/>
        <v/>
      </c>
      <c r="AN46" s="31" t="str">
        <f t="shared" si="7"/>
        <v/>
      </c>
      <c r="AP46" s="61" t="str">
        <f>IF(L46="","",VLOOKUP($L46,classifications!$C:$E,3,FALSE))</f>
        <v>South East</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526.79999999999995</v>
      </c>
      <c r="AY46" s="156"/>
      <c r="AZ46" s="44"/>
    </row>
    <row r="47" spans="1:52">
      <c r="A47" s="84" t="str">
        <f>$D$1&amp;37</f>
        <v>SD37</v>
      </c>
      <c r="B47" s="85" t="str">
        <f>IF(ISERROR(VLOOKUP(A47,classifications!A:C,3,FALSE)),0,VLOOKUP(A47,classifications!A:C,3,FALSE))</f>
        <v>Rother</v>
      </c>
      <c r="C47" s="31" t="s">
        <v>23</v>
      </c>
      <c r="D47" s="49" t="str">
        <f>VLOOKUP($C47,classifications!$C:$J,4,FALSE)</f>
        <v>SD</v>
      </c>
      <c r="E47" s="49">
        <f>VLOOKUP(C47,classifications!C:K,9,FALSE)</f>
        <v>0</v>
      </c>
      <c r="F47" s="59">
        <f t="shared" si="0"/>
        <v>575.5</v>
      </c>
      <c r="G47" s="105"/>
      <c r="H47" s="60">
        <f t="shared" si="1"/>
        <v>575.5</v>
      </c>
      <c r="I47" s="112">
        <f>IF(H47="","",IF($I$8="A",(RANK(H47,H$11:H$355,1)+COUNTIF(H$11:H47,H47)-1),(RANK(H47,H$11:H$355)+COUNTIF(H$11:H47,H47)-1)))</f>
        <v>161</v>
      </c>
      <c r="J47" s="58"/>
      <c r="K47" s="51">
        <f t="shared" si="10"/>
        <v>37</v>
      </c>
      <c r="L47" s="59" t="str">
        <f t="shared" si="2"/>
        <v>Huntingdonshire</v>
      </c>
      <c r="M47" s="153">
        <f t="shared" si="3"/>
        <v>425.8</v>
      </c>
      <c r="N47" s="148">
        <f t="shared" si="23"/>
        <v>425.8</v>
      </c>
      <c r="O47" s="131">
        <f t="shared" si="11"/>
        <v>425.8</v>
      </c>
      <c r="P47" s="131" t="str">
        <f t="shared" si="19"/>
        <v/>
      </c>
      <c r="Q47" s="131" t="str">
        <f t="shared" si="20"/>
        <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 xml:space="preserve">Mainly Rural (rural including hub towns &gt;=80%) </v>
      </c>
      <c r="Y47" s="49">
        <f t="shared" si="4"/>
        <v>425.8</v>
      </c>
      <c r="Z47" s="57">
        <f>IF(Y47="","",IF(I$8="A",(RANK(Y47,Y$11:Y$355,1)+COUNTIF(Y$11:Y47,Y47)-1),(RANK(Y47,Y$11:Y$355)+COUNTIF(Y$11:Y47,Y47)-1)))</f>
        <v>12</v>
      </c>
      <c r="AA47" s="242" t="str">
        <f>IF(L47="","",VLOOKUP($L47,classifications!C:I,7,FALSE))</f>
        <v>Predominantly Rural</v>
      </c>
      <c r="AB47" s="236">
        <f t="shared" si="14"/>
        <v>425.8</v>
      </c>
      <c r="AC47" s="236">
        <f>IF(AB47="","",IF($I$8="A",(RANK(AB47,AB$11:AB$355)+COUNTIF(AB$11:AB47,AB47)-1),(RANK(AB47,AB$11:AB$355,1)+COUNTIF(AB$11:AB47,AB47)-1)))</f>
        <v>50</v>
      </c>
      <c r="AD47" s="236"/>
      <c r="AE47" s="51" t="str">
        <f t="shared" si="24"/>
        <v/>
      </c>
      <c r="AG47" s="143"/>
      <c r="AH47" s="52"/>
      <c r="AI47" s="61" t="str">
        <f>IF(L47="","",VLOOKUP($L47,classifications!$C:$J,8,FALSE))</f>
        <v>Cambridgeshire</v>
      </c>
      <c r="AJ47" s="62" t="str">
        <f t="shared" si="5"/>
        <v/>
      </c>
      <c r="AK47" s="57" t="str">
        <f>IF(AJ47="","",IF(I$8="A",(RANK(AJ47,AJ$11:AJ$355,1)+COUNTIF(AJ$11:AJ47,AJ47)-1),(RANK(AJ47,AJ$11:AJ$355)+COUNTIF(AJ$11:AJ47,AJ47)-1)))</f>
        <v/>
      </c>
      <c r="AL47" s="52" t="str">
        <f t="shared" si="16"/>
        <v/>
      </c>
      <c r="AM47" s="31" t="str">
        <f t="shared" si="6"/>
        <v/>
      </c>
      <c r="AN47" s="31" t="str">
        <f t="shared" si="7"/>
        <v/>
      </c>
      <c r="AP47" s="61" t="str">
        <f>IF(L47="","",VLOOKUP($L47,classifications!$C:$E,3,FALSE))</f>
        <v>East of England</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575.5</v>
      </c>
      <c r="AY47" s="156"/>
      <c r="AZ47" s="44"/>
    </row>
    <row r="48" spans="1:52">
      <c r="A48" s="84" t="str">
        <f>$D$1&amp;38</f>
        <v>SD38</v>
      </c>
      <c r="B48" s="85" t="str">
        <f>IF(ISERROR(VLOOKUP(A48,classifications!A:C,3,FALSE)),0,VLOOKUP(A48,classifications!A:C,3,FALSE))</f>
        <v>Rugby</v>
      </c>
      <c r="C48" s="31" t="s">
        <v>24</v>
      </c>
      <c r="D48" s="49" t="str">
        <f>VLOOKUP($C48,classifications!$C:$J,4,FALSE)</f>
        <v>SD</v>
      </c>
      <c r="E48" s="49">
        <f>VLOOKUP(C48,classifications!C:K,9,FALSE)</f>
        <v>0</v>
      </c>
      <c r="F48" s="59">
        <f t="shared" si="0"/>
        <v>545.29999999999995</v>
      </c>
      <c r="G48" s="105"/>
      <c r="H48" s="60">
        <f t="shared" si="1"/>
        <v>545.29999999999995</v>
      </c>
      <c r="I48" s="112">
        <f>IF(H48="","",IF($I$8="A",(RANK(H48,H$11:H$355,1)+COUNTIF(H$11:H48,H48)-1),(RANK(H48,H$11:H$355)+COUNTIF(H$11:H48,H48)-1)))</f>
        <v>143</v>
      </c>
      <c r="J48" s="58"/>
      <c r="K48" s="51">
        <f t="shared" si="10"/>
        <v>38</v>
      </c>
      <c r="L48" s="59" t="str">
        <f t="shared" si="2"/>
        <v>Watford</v>
      </c>
      <c r="M48" s="153">
        <f t="shared" si="3"/>
        <v>426.2</v>
      </c>
      <c r="N48" s="148">
        <f t="shared" si="23"/>
        <v>426.2</v>
      </c>
      <c r="O48" s="131">
        <f t="shared" si="11"/>
        <v>426.2</v>
      </c>
      <c r="P48" s="131" t="str">
        <f t="shared" si="19"/>
        <v/>
      </c>
      <c r="Q48" s="131" t="str">
        <f t="shared" si="20"/>
        <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Major Conurbation</v>
      </c>
      <c r="Y48" s="49" t="str">
        <f t="shared" si="4"/>
        <v/>
      </c>
      <c r="Z48" s="57" t="str">
        <f>IF(Y48="","",IF(I$8="A",(RANK(Y48,Y$11:Y$355,1)+COUNTIF(Y$11:Y48,Y48)-1),(RANK(Y48,Y$11:Y$355)+COUNTIF(Y$11:Y48,Y48)-1)))</f>
        <v/>
      </c>
      <c r="AA48" s="242" t="str">
        <f>IF(L48="","",VLOOKUP($L48,classifications!C:I,7,FALSE))</f>
        <v>Predominantly Urban</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Hertfordshire</v>
      </c>
      <c r="AJ48" s="62" t="str">
        <f t="shared" si="5"/>
        <v/>
      </c>
      <c r="AK48" s="57" t="str">
        <f>IF(AJ48="","",IF(I$8="A",(RANK(AJ48,AJ$11:AJ$355,1)+COUNTIF(AJ$11:AJ48,AJ48)-1),(RANK(AJ48,AJ$11:AJ$355)+COUNTIF(AJ$11:AJ48,AJ48)-1)))</f>
        <v/>
      </c>
      <c r="AL48" s="52" t="str">
        <f t="shared" si="16"/>
        <v/>
      </c>
      <c r="AM48" s="31" t="str">
        <f t="shared" si="6"/>
        <v/>
      </c>
      <c r="AN48" s="31" t="str">
        <f t="shared" si="7"/>
        <v/>
      </c>
      <c r="AP48" s="61" t="str">
        <f>IF(L48="","",VLOOKUP($L48,classifications!$C:$E,3,FALSE))</f>
        <v>East of England</v>
      </c>
      <c r="AQ48" s="62" t="str">
        <f t="shared" si="17"/>
        <v/>
      </c>
      <c r="AR48" s="57" t="str">
        <f>IF(AQ48="","",IF(I$8="A",(RANK(AQ48,AQ$11:AQ$355,1)+COUNTIF(AQ$11:AQ48,AQ48)-1),(RANK(AQ48,AQ$11:AQ$355)+COUNTIF(AQ$11:AQ48,AQ48)-1)))</f>
        <v/>
      </c>
      <c r="AS48" s="52" t="str">
        <f t="shared" si="18"/>
        <v/>
      </c>
      <c r="AT48" s="57" t="str">
        <f t="shared" si="8"/>
        <v/>
      </c>
      <c r="AU48" s="62" t="str">
        <f t="shared" si="9"/>
        <v/>
      </c>
      <c r="AX48" s="44">
        <f>HLOOKUP($AX$9&amp;$AX$10,Data!$A$1:$ZZ$2000,(MATCH($C48,Data!$A$1:$A$2000,0)),FALSE)</f>
        <v>545.29999999999995</v>
      </c>
      <c r="AY48" s="156"/>
      <c r="AZ48" s="44"/>
    </row>
    <row r="49" spans="1:52">
      <c r="A49" s="84" t="str">
        <f>$D$1&amp;39</f>
        <v>SD39</v>
      </c>
      <c r="B49" s="85" t="str">
        <f>IF(ISERROR(VLOOKUP(A49,classifications!A:C,3,FALSE)),0,VLOOKUP(A49,classifications!A:C,3,FALSE))</f>
        <v>Ryedale</v>
      </c>
      <c r="C49" s="31" t="s">
        <v>25</v>
      </c>
      <c r="D49" s="49" t="str">
        <f>VLOOKUP($C49,classifications!$C:$J,4,FALSE)</f>
        <v>SD</v>
      </c>
      <c r="E49" s="49">
        <f>VLOOKUP(C49,classifications!C:K,9,FALSE)</f>
        <v>0</v>
      </c>
      <c r="F49" s="59">
        <f t="shared" si="0"/>
        <v>564.20000000000005</v>
      </c>
      <c r="G49" s="105"/>
      <c r="H49" s="60">
        <f t="shared" si="1"/>
        <v>564.20000000000005</v>
      </c>
      <c r="I49" s="112">
        <f>IF(H49="","",IF($I$8="A",(RANK(H49,H$11:H$355,1)+COUNTIF(H$11:H49,H49)-1),(RANK(H49,H$11:H$355)+COUNTIF(H$11:H49,H49)-1)))</f>
        <v>153</v>
      </c>
      <c r="J49" s="58"/>
      <c r="K49" s="51">
        <f t="shared" si="10"/>
        <v>39</v>
      </c>
      <c r="L49" s="59" t="str">
        <f t="shared" si="2"/>
        <v>Mole Valley</v>
      </c>
      <c r="M49" s="153">
        <f t="shared" si="3"/>
        <v>426.5</v>
      </c>
      <c r="N49" s="148">
        <f t="shared" si="23"/>
        <v>426.5</v>
      </c>
      <c r="O49" s="131">
        <f t="shared" si="11"/>
        <v>426.5</v>
      </c>
      <c r="P49" s="131" t="str">
        <f t="shared" si="19"/>
        <v/>
      </c>
      <c r="Q49" s="131" t="str">
        <f t="shared" si="20"/>
        <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Significant Rural (rural including hub towns 26-49%)</v>
      </c>
      <c r="Y49" s="49" t="str">
        <f t="shared" si="4"/>
        <v/>
      </c>
      <c r="Z49" s="57" t="str">
        <f>IF(Y49="","",IF(I$8="A",(RANK(Y49,Y$11:Y$355,1)+COUNTIF(Y$11:Y49,Y49)-1),(RANK(Y49,Y$11:Y$355)+COUNTIF(Y$11:Y49,Y49)-1)))</f>
        <v/>
      </c>
      <c r="AA49" s="242" t="str">
        <f>IF(L49="","",VLOOKUP($L49,classifications!C:I,7,FALSE))</f>
        <v>Significant Rural</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Surrey</v>
      </c>
      <c r="AJ49" s="62" t="str">
        <f t="shared" si="5"/>
        <v/>
      </c>
      <c r="AK49" s="57" t="str">
        <f>IF(AJ49="","",IF(I$8="A",(RANK(AJ49,AJ$11:AJ$355,1)+COUNTIF(AJ$11:AJ49,AJ49)-1),(RANK(AJ49,AJ$11:AJ$355)+COUNTIF(AJ$11:AJ49,AJ49)-1)))</f>
        <v/>
      </c>
      <c r="AL49" s="52" t="str">
        <f t="shared" si="16"/>
        <v/>
      </c>
      <c r="AM49" s="31" t="str">
        <f t="shared" si="6"/>
        <v/>
      </c>
      <c r="AN49" s="31" t="str">
        <f t="shared" si="7"/>
        <v/>
      </c>
      <c r="AP49" s="61" t="str">
        <f>IF(L49="","",VLOOKUP($L49,classifications!$C:$E,3,FALSE))</f>
        <v>South East</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564.20000000000005</v>
      </c>
      <c r="AY49" s="156"/>
      <c r="AZ49" s="44"/>
    </row>
    <row r="50" spans="1:52">
      <c r="A50" s="84" t="str">
        <f>$D$1&amp;40</f>
        <v>SD40</v>
      </c>
      <c r="B50" s="85" t="str">
        <f>IF(ISERROR(VLOOKUP(A50,classifications!A:C,3,FALSE)),0,VLOOKUP(A50,classifications!A:C,3,FALSE))</f>
        <v>Scarborough</v>
      </c>
      <c r="C50" s="31" t="s">
        <v>300</v>
      </c>
      <c r="D50" s="49" t="str">
        <f>VLOOKUP($C50,classifications!$C:$J,4,FALSE)</f>
        <v>SC</v>
      </c>
      <c r="E50" s="49">
        <f>VLOOKUP(C50,classifications!C:K,9,FALSE)</f>
        <v>0</v>
      </c>
      <c r="F50" s="59">
        <f t="shared" si="0"/>
        <v>509.3</v>
      </c>
      <c r="G50" s="105"/>
      <c r="H50" s="60" t="str">
        <f t="shared" si="1"/>
        <v/>
      </c>
      <c r="I50" s="112" t="str">
        <f>IF(H50="","",IF($I$8="A",(RANK(H50,H$11:H$355,1)+COUNTIF(H$11:H50,H50)-1),(RANK(H50,H$11:H$355)+COUNTIF(H$11:H50,H50)-1)))</f>
        <v/>
      </c>
      <c r="J50" s="58"/>
      <c r="K50" s="51">
        <f t="shared" si="10"/>
        <v>40</v>
      </c>
      <c r="L50" s="59" t="str">
        <f t="shared" si="2"/>
        <v>Tendring</v>
      </c>
      <c r="M50" s="153">
        <f t="shared" si="3"/>
        <v>427.6</v>
      </c>
      <c r="N50" s="148">
        <f t="shared" si="23"/>
        <v>427.6</v>
      </c>
      <c r="O50" s="131">
        <f t="shared" si="11"/>
        <v>427.6</v>
      </c>
      <c r="P50" s="131" t="str">
        <f t="shared" si="19"/>
        <v/>
      </c>
      <c r="Q50" s="131" t="str">
        <f t="shared" si="20"/>
        <v/>
      </c>
      <c r="R50" s="127" t="str">
        <f t="shared" si="21"/>
        <v/>
      </c>
      <c r="S50" s="60" t="str">
        <f t="shared" si="12"/>
        <v/>
      </c>
      <c r="T50" s="228">
        <f>IF(L50="","",VLOOKUP(L50,classifications!C:K,9,FALSE))</f>
        <v>0</v>
      </c>
      <c r="U50" s="235" t="str">
        <f t="shared" si="25"/>
        <v/>
      </c>
      <c r="V50" s="236" t="str">
        <f>IF(U50="","",IF($I$8="A",(RANK(U50,U$11:U$355)+COUNTIF(U$11:U50,U50)-1),(RANK(U50,U$11:U$355,1)+COUNTIF(U$11:U50,U50)-1)))</f>
        <v/>
      </c>
      <c r="W50" s="237"/>
      <c r="X50" s="61" t="str">
        <f>IF(L50="","",VLOOKUP($L50,classifications!$C:$J,6,FALSE))</f>
        <v xml:space="preserve">Largely Rural (rural including hub towns 50-79%) </v>
      </c>
      <c r="Y50" s="49" t="str">
        <f t="shared" si="4"/>
        <v/>
      </c>
      <c r="Z50" s="57" t="str">
        <f>IF(Y50="","",IF(I$8="A",(RANK(Y50,Y$11:Y$355,1)+COUNTIF(Y$11:Y50,Y50)-1),(RANK(Y50,Y$11:Y$355)+COUNTIF(Y$11:Y50,Y50)-1)))</f>
        <v/>
      </c>
      <c r="AA50" s="242" t="str">
        <f>IF(L50="","",VLOOKUP($L50,classifications!C:I,7,FALSE))</f>
        <v>Predominantly Rural</v>
      </c>
      <c r="AB50" s="236">
        <f t="shared" si="14"/>
        <v>427.6</v>
      </c>
      <c r="AC50" s="236">
        <f>IF(AB50="","",IF($I$8="A",(RANK(AB50,AB$11:AB$355)+COUNTIF(AB$11:AB50,AB50)-1),(RANK(AB50,AB$11:AB$355,1)+COUNTIF(AB$11:AB50,AB50)-1)))</f>
        <v>49</v>
      </c>
      <c r="AD50" s="236"/>
      <c r="AE50" s="51" t="str">
        <f t="shared" si="24"/>
        <v/>
      </c>
      <c r="AG50" s="143"/>
      <c r="AH50" s="52"/>
      <c r="AI50" s="61" t="str">
        <f>IF(L50="","",VLOOKUP($L50,classifications!$C:$J,8,FALSE))</f>
        <v>Essex</v>
      </c>
      <c r="AJ50" s="62" t="str">
        <f t="shared" si="5"/>
        <v/>
      </c>
      <c r="AK50" s="57" t="str">
        <f>IF(AJ50="","",IF(I$8="A",(RANK(AJ50,AJ$11:AJ$355,1)+COUNTIF(AJ$11:AJ50,AJ50)-1),(RANK(AJ50,AJ$11:AJ$355)+COUNTIF(AJ$11:AJ50,AJ50)-1)))</f>
        <v/>
      </c>
      <c r="AL50" s="52" t="str">
        <f t="shared" si="16"/>
        <v/>
      </c>
      <c r="AM50" s="31" t="str">
        <f t="shared" si="6"/>
        <v/>
      </c>
      <c r="AN50" s="31" t="str">
        <f t="shared" si="7"/>
        <v/>
      </c>
      <c r="AP50" s="61" t="str">
        <f>IF(L50="","",VLOOKUP($L50,classifications!$C:$E,3,FALSE))</f>
        <v>East of England</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509.3</v>
      </c>
      <c r="AY50" s="156"/>
      <c r="AZ50" s="44"/>
    </row>
    <row r="51" spans="1:52">
      <c r="A51" s="84" t="str">
        <f>$D$1&amp;41</f>
        <v>SD41</v>
      </c>
      <c r="B51" s="85" t="str">
        <f>IF(ISERROR(VLOOKUP(A51,classifications!A:C,3,FALSE)),0,VLOOKUP(A51,classifications!A:C,3,FALSE))</f>
        <v>Sedgemoor</v>
      </c>
      <c r="C51" s="31" t="s">
        <v>26</v>
      </c>
      <c r="D51" s="49" t="str">
        <f>VLOOKUP($C51,classifications!$C:$J,4,FALSE)</f>
        <v>SD</v>
      </c>
      <c r="E51" s="49">
        <f>VLOOKUP(C51,classifications!C:K,9,FALSE)</f>
        <v>0</v>
      </c>
      <c r="F51" s="59">
        <f t="shared" si="0"/>
        <v>525</v>
      </c>
      <c r="G51" s="105"/>
      <c r="H51" s="60">
        <f t="shared" si="1"/>
        <v>525</v>
      </c>
      <c r="I51" s="112">
        <f>IF(H51="","",IF($I$8="A",(RANK(H51,H$11:H$355,1)+COUNTIF(H$11:H51,H51)-1),(RANK(H51,H$11:H$355)+COUNTIF(H$11:H51,H51)-1)))</f>
        <v>122</v>
      </c>
      <c r="J51" s="58"/>
      <c r="K51" s="51">
        <f t="shared" si="10"/>
        <v>41</v>
      </c>
      <c r="L51" s="59" t="str">
        <f t="shared" si="2"/>
        <v>Malvern Hills</v>
      </c>
      <c r="M51" s="153">
        <f t="shared" si="3"/>
        <v>428.5</v>
      </c>
      <c r="N51" s="148">
        <f t="shared" si="23"/>
        <v>428.5</v>
      </c>
      <c r="O51" s="131">
        <f t="shared" si="11"/>
        <v>428.5</v>
      </c>
      <c r="P51" s="131" t="str">
        <f t="shared" si="19"/>
        <v/>
      </c>
      <c r="Q51" s="131" t="str">
        <f t="shared" si="20"/>
        <v/>
      </c>
      <c r="R51" s="127" t="str">
        <f t="shared" si="21"/>
        <v/>
      </c>
      <c r="S51" s="60" t="str">
        <f t="shared" si="12"/>
        <v/>
      </c>
      <c r="T51" s="228" t="str">
        <f>IF(L51="","",VLOOKUP(L51,classifications!C:K,9,FALSE))</f>
        <v>Sparse</v>
      </c>
      <c r="U51" s="235">
        <f t="shared" si="25"/>
        <v>428.5</v>
      </c>
      <c r="V51" s="236">
        <f>IF(U51="","",IF($I$8="A",(RANK(U51,U$11:U$355)+COUNTIF(U$11:U51,U51)-1),(RANK(U51,U$11:U$355,1)+COUNTIF(U$11:U51,U51)-1)))</f>
        <v>45</v>
      </c>
      <c r="W51" s="237"/>
      <c r="X51" s="61" t="str">
        <f>IF(L51="","",VLOOKUP($L51,classifications!$C:$J,6,FALSE))</f>
        <v xml:space="preserve">Largely Rural (rural including hub towns 50-79%) </v>
      </c>
      <c r="Y51" s="49" t="str">
        <f t="shared" si="4"/>
        <v/>
      </c>
      <c r="Z51" s="57" t="str">
        <f>IF(Y51="","",IF(I$8="A",(RANK(Y51,Y$11:Y$355,1)+COUNTIF(Y$11:Y51,Y51)-1),(RANK(Y51,Y$11:Y$355)+COUNTIF(Y$11:Y51,Y51)-1)))</f>
        <v/>
      </c>
      <c r="AA51" s="242" t="str">
        <f>IF(L51="","",VLOOKUP($L51,classifications!C:I,7,FALSE))</f>
        <v>Predominantly Rural</v>
      </c>
      <c r="AB51" s="236">
        <f t="shared" si="14"/>
        <v>428.5</v>
      </c>
      <c r="AC51" s="236">
        <f>IF(AB51="","",IF($I$8="A",(RANK(AB51,AB$11:AB$355)+COUNTIF(AB$11:AB51,AB51)-1),(RANK(AB51,AB$11:AB$355,1)+COUNTIF(AB$11:AB51,AB51)-1)))</f>
        <v>48</v>
      </c>
      <c r="AD51" s="236"/>
      <c r="AE51" s="51" t="str">
        <f t="shared" si="24"/>
        <v/>
      </c>
      <c r="AG51" s="143"/>
      <c r="AH51" s="52"/>
      <c r="AI51" s="61" t="str">
        <f>IF(L51="","",VLOOKUP($L51,classifications!$C:$J,8,FALSE))</f>
        <v>Worcestershire</v>
      </c>
      <c r="AJ51" s="62" t="str">
        <f t="shared" si="5"/>
        <v/>
      </c>
      <c r="AK51" s="57" t="str">
        <f>IF(AJ51="","",IF(I$8="A",(RANK(AJ51,AJ$11:AJ$355,1)+COUNTIF(AJ$11:AJ51,AJ51)-1),(RANK(AJ51,AJ$11:AJ$355)+COUNTIF(AJ$11:AJ51,AJ51)-1)))</f>
        <v/>
      </c>
      <c r="AL51" s="52" t="str">
        <f t="shared" si="16"/>
        <v/>
      </c>
      <c r="AM51" s="31" t="str">
        <f t="shared" si="6"/>
        <v/>
      </c>
      <c r="AN51" s="31" t="str">
        <f t="shared" si="7"/>
        <v/>
      </c>
      <c r="AP51" s="61" t="str">
        <f>IF(L51="","",VLOOKUP($L51,classifications!$C:$E,3,FALSE))</f>
        <v>West Midlands</v>
      </c>
      <c r="AQ51" s="62" t="str">
        <f t="shared" si="17"/>
        <v/>
      </c>
      <c r="AR51" s="57" t="str">
        <f>IF(AQ51="","",IF(I$8="A",(RANK(AQ51,AQ$11:AQ$355,1)+COUNTIF(AQ$11:AQ51,AQ51)-1),(RANK(AQ51,AQ$11:AQ$355)+COUNTIF(AQ$11:AQ51,AQ51)-1)))</f>
        <v/>
      </c>
      <c r="AS51" s="52" t="str">
        <f t="shared" si="18"/>
        <v/>
      </c>
      <c r="AT51" s="57" t="str">
        <f t="shared" si="8"/>
        <v/>
      </c>
      <c r="AU51" s="62" t="str">
        <f t="shared" si="9"/>
        <v/>
      </c>
      <c r="AX51" s="44">
        <f>HLOOKUP($AX$9&amp;$AX$10,Data!$A$1:$ZZ$2000,(MATCH($C51,Data!$A$1:$A$2000,0)),FALSE)</f>
        <v>525</v>
      </c>
      <c r="AY51" s="156"/>
      <c r="AZ51" s="44"/>
    </row>
    <row r="52" spans="1:52">
      <c r="A52" s="84" t="str">
        <f>$D$1&amp;42</f>
        <v>SD42</v>
      </c>
      <c r="B52" s="85" t="str">
        <f>IF(ISERROR(VLOOKUP(A52,classifications!A:C,3,FALSE)),0,VLOOKUP(A52,classifications!A:C,3,FALSE))</f>
        <v>Selby</v>
      </c>
      <c r="C52" s="31" t="s">
        <v>226</v>
      </c>
      <c r="D52" s="49" t="str">
        <f>VLOOKUP($C52,classifications!$C:$J,4,FALSE)</f>
        <v>MD</v>
      </c>
      <c r="E52" s="49">
        <f>VLOOKUP(C52,classifications!C:K,9,FALSE)</f>
        <v>0</v>
      </c>
      <c r="F52" s="59">
        <f t="shared" si="0"/>
        <v>399.5</v>
      </c>
      <c r="G52" s="105"/>
      <c r="H52" s="60" t="str">
        <f t="shared" si="1"/>
        <v/>
      </c>
      <c r="I52" s="112" t="str">
        <f>IF(H52="","",IF($I$8="A",(RANK(H52,H$11:H$355,1)+COUNTIF(H$11:H52,H52)-1),(RANK(H52,H$11:H$355)+COUNTIF(H$11:H52,H52)-1)))</f>
        <v/>
      </c>
      <c r="J52" s="58"/>
      <c r="K52" s="51">
        <f t="shared" si="10"/>
        <v>42</v>
      </c>
      <c r="L52" s="59" t="str">
        <f t="shared" si="2"/>
        <v>Forest of Dean</v>
      </c>
      <c r="M52" s="153">
        <f t="shared" si="3"/>
        <v>431.5</v>
      </c>
      <c r="N52" s="148">
        <f t="shared" si="23"/>
        <v>431.5</v>
      </c>
      <c r="O52" s="131">
        <f t="shared" si="11"/>
        <v>431.5</v>
      </c>
      <c r="P52" s="131" t="str">
        <f t="shared" si="19"/>
        <v/>
      </c>
      <c r="Q52" s="131" t="str">
        <f t="shared" si="20"/>
        <v/>
      </c>
      <c r="R52" s="127" t="str">
        <f t="shared" si="21"/>
        <v/>
      </c>
      <c r="S52" s="60" t="str">
        <f t="shared" si="12"/>
        <v/>
      </c>
      <c r="T52" s="228" t="str">
        <f>IF(L52="","",VLOOKUP(L52,classifications!C:K,9,FALSE))</f>
        <v>Sparse</v>
      </c>
      <c r="U52" s="235">
        <f t="shared" si="25"/>
        <v>431.5</v>
      </c>
      <c r="V52" s="236">
        <f>IF(U52="","",IF($I$8="A",(RANK(U52,U$11:U$355)+COUNTIF(U$11:U52,U52)-1),(RANK(U52,U$11:U$355,1)+COUNTIF(U$11:U52,U52)-1)))</f>
        <v>44</v>
      </c>
      <c r="W52" s="237"/>
      <c r="X52" s="61" t="str">
        <f>IF(L52="","",VLOOKUP($L52,classifications!$C:$J,6,FALSE))</f>
        <v xml:space="preserve">Mainly Rural (rural including hub towns &gt;=80%) </v>
      </c>
      <c r="Y52" s="49">
        <f t="shared" si="4"/>
        <v>431.5</v>
      </c>
      <c r="Z52" s="57">
        <f>IF(Y52="","",IF(I$8="A",(RANK(Y52,Y$11:Y$355,1)+COUNTIF(Y$11:Y52,Y52)-1),(RANK(Y52,Y$11:Y$355)+COUNTIF(Y$11:Y52,Y52)-1)))</f>
        <v>13</v>
      </c>
      <c r="AA52" s="242" t="str">
        <f>IF(L52="","",VLOOKUP($L52,classifications!C:I,7,FALSE))</f>
        <v>Predominantly Rural</v>
      </c>
      <c r="AB52" s="236">
        <f t="shared" si="14"/>
        <v>431.5</v>
      </c>
      <c r="AC52" s="236">
        <f>IF(AB52="","",IF($I$8="A",(RANK(AB52,AB$11:AB$355)+COUNTIF(AB$11:AB52,AB52)-1),(RANK(AB52,AB$11:AB$355,1)+COUNTIF(AB$11:AB52,AB52)-1)))</f>
        <v>47</v>
      </c>
      <c r="AD52" s="236"/>
      <c r="AE52" s="51" t="str">
        <f t="shared" si="24"/>
        <v/>
      </c>
      <c r="AG52" s="143"/>
      <c r="AH52" s="52"/>
      <c r="AI52" s="61" t="str">
        <f>IF(L52="","",VLOOKUP($L52,classifications!$C:$J,8,FALSE))</f>
        <v>Gloucestershire</v>
      </c>
      <c r="AJ52" s="62" t="str">
        <f t="shared" si="5"/>
        <v/>
      </c>
      <c r="AK52" s="57" t="str">
        <f>IF(AJ52="","",IF(I$8="A",(RANK(AJ52,AJ$11:AJ$355,1)+COUNTIF(AJ$11:AJ52,AJ52)-1),(RANK(AJ52,AJ$11:AJ$355)+COUNTIF(AJ$11:AJ52,AJ52)-1)))</f>
        <v/>
      </c>
      <c r="AL52" s="52" t="str">
        <f t="shared" si="16"/>
        <v/>
      </c>
      <c r="AM52" s="31" t="str">
        <f t="shared" si="6"/>
        <v/>
      </c>
      <c r="AN52" s="31" t="str">
        <f t="shared" si="7"/>
        <v/>
      </c>
      <c r="AP52" s="61" t="str">
        <f>IF(L52="","",VLOOKUP($L52,classifications!$C:$E,3,FALSE))</f>
        <v>South West</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399.5</v>
      </c>
      <c r="AY52" s="156"/>
      <c r="AZ52" s="44"/>
    </row>
    <row r="53" spans="1:52">
      <c r="A53" s="84" t="str">
        <f>$D$1&amp;43</f>
        <v>SD43</v>
      </c>
      <c r="B53" s="85" t="str">
        <f>IF(ISERROR(VLOOKUP(A53,classifications!A:C,3,FALSE)),0,VLOOKUP(A53,classifications!A:C,3,FALSE))</f>
        <v>South Cambridgeshire</v>
      </c>
      <c r="C53" s="31" t="s">
        <v>227</v>
      </c>
      <c r="D53" s="49" t="str">
        <f>VLOOKUP($C53,classifications!$C:$J,4,FALSE)</f>
        <v>MD</v>
      </c>
      <c r="E53" s="49">
        <f>VLOOKUP(C53,classifications!C:K,9,FALSE)</f>
        <v>0</v>
      </c>
      <c r="F53" s="59">
        <f t="shared" si="0"/>
        <v>403.2</v>
      </c>
      <c r="G53" s="105"/>
      <c r="H53" s="60" t="str">
        <f t="shared" si="1"/>
        <v/>
      </c>
      <c r="I53" s="112" t="str">
        <f>IF(H53="","",IF($I$8="A",(RANK(H53,H$11:H$355,1)+COUNTIF(H$11:H53,H53)-1),(RANK(H53,H$11:H$355)+COUNTIF(H$11:H53,H53)-1)))</f>
        <v/>
      </c>
      <c r="J53" s="58"/>
      <c r="K53" s="51">
        <f t="shared" si="10"/>
        <v>43</v>
      </c>
      <c r="L53" s="59" t="str">
        <f t="shared" si="2"/>
        <v>Ryedale</v>
      </c>
      <c r="M53" s="153">
        <f t="shared" si="3"/>
        <v>432.5</v>
      </c>
      <c r="N53" s="148">
        <f t="shared" si="23"/>
        <v>432.5</v>
      </c>
      <c r="O53" s="131">
        <f t="shared" si="11"/>
        <v>432.5</v>
      </c>
      <c r="P53" s="131" t="str">
        <f t="shared" si="19"/>
        <v/>
      </c>
      <c r="Q53" s="131" t="str">
        <f t="shared" si="20"/>
        <v/>
      </c>
      <c r="R53" s="127" t="str">
        <f t="shared" si="21"/>
        <v/>
      </c>
      <c r="S53" s="60" t="str">
        <f t="shared" si="12"/>
        <v/>
      </c>
      <c r="T53" s="228" t="str">
        <f>IF(L53="","",VLOOKUP(L53,classifications!C:K,9,FALSE))</f>
        <v>Sparse</v>
      </c>
      <c r="U53" s="235">
        <f t="shared" si="25"/>
        <v>432.5</v>
      </c>
      <c r="V53" s="236">
        <f>IF(U53="","",IF($I$8="A",(RANK(U53,U$11:U$355)+COUNTIF(U$11:U53,U53)-1),(RANK(U53,U$11:U$355,1)+COUNTIF(U$11:U53,U53)-1)))</f>
        <v>43</v>
      </c>
      <c r="W53" s="237"/>
      <c r="X53" s="61" t="str">
        <f>IF(L53="","",VLOOKUP($L53,classifications!$C:$J,6,FALSE))</f>
        <v xml:space="preserve">Mainly Rural (rural including hub towns &gt;=80%) </v>
      </c>
      <c r="Y53" s="49">
        <f t="shared" si="4"/>
        <v>432.5</v>
      </c>
      <c r="Z53" s="57">
        <f>IF(Y53="","",IF(I$8="A",(RANK(Y53,Y$11:Y$355,1)+COUNTIF(Y$11:Y53,Y53)-1),(RANK(Y53,Y$11:Y$355)+COUNTIF(Y$11:Y53,Y53)-1)))</f>
        <v>14</v>
      </c>
      <c r="AA53" s="242" t="str">
        <f>IF(L53="","",VLOOKUP($L53,classifications!C:I,7,FALSE))</f>
        <v>Predominantly Rural</v>
      </c>
      <c r="AB53" s="236">
        <f t="shared" si="14"/>
        <v>432.5</v>
      </c>
      <c r="AC53" s="236">
        <f>IF(AB53="","",IF($I$8="A",(RANK(AB53,AB$11:AB$355)+COUNTIF(AB$11:AB53,AB53)-1),(RANK(AB53,AB$11:AB$355,1)+COUNTIF(AB$11:AB53,AB53)-1)))</f>
        <v>46</v>
      </c>
      <c r="AD53" s="236"/>
      <c r="AE53" s="51" t="str">
        <f t="shared" si="24"/>
        <v/>
      </c>
      <c r="AG53" s="143"/>
      <c r="AH53" s="52"/>
      <c r="AI53" s="61" t="str">
        <f>IF(L53="","",VLOOKUP($L53,classifications!$C:$J,8,FALSE))</f>
        <v>North Yorkshire</v>
      </c>
      <c r="AJ53" s="62" t="str">
        <f t="shared" si="5"/>
        <v/>
      </c>
      <c r="AK53" s="57" t="str">
        <f>IF(AJ53="","",IF(I$8="A",(RANK(AJ53,AJ$11:AJ$355,1)+COUNTIF(AJ$11:AJ53,AJ53)-1),(RANK(AJ53,AJ$11:AJ$355)+COUNTIF(AJ$11:AJ53,AJ53)-1)))</f>
        <v/>
      </c>
      <c r="AL53" s="52" t="str">
        <f t="shared" si="16"/>
        <v/>
      </c>
      <c r="AM53" s="31" t="str">
        <f t="shared" si="6"/>
        <v/>
      </c>
      <c r="AN53" s="31" t="str">
        <f t="shared" si="7"/>
        <v/>
      </c>
      <c r="AP53" s="61" t="str">
        <f>IF(L53="","",VLOOKUP($L53,classifications!$C:$E,3,FALSE))</f>
        <v>Yorkshire &amp; Humberside</v>
      </c>
      <c r="AQ53" s="62" t="str">
        <f t="shared" si="17"/>
        <v/>
      </c>
      <c r="AR53" s="57" t="str">
        <f>IF(AQ53="","",IF(I$8="A",(RANK(AQ53,AQ$11:AQ$355,1)+COUNTIF(AQ$11:AQ53,AQ53)-1),(RANK(AQ53,AQ$11:AQ$355)+COUNTIF(AQ$11:AQ53,AQ53)-1)))</f>
        <v/>
      </c>
      <c r="AS53" s="52" t="str">
        <f t="shared" si="18"/>
        <v/>
      </c>
      <c r="AT53" s="57" t="str">
        <f t="shared" si="8"/>
        <v/>
      </c>
      <c r="AU53" s="62" t="str">
        <f t="shared" si="9"/>
        <v/>
      </c>
      <c r="AX53" s="44">
        <f>HLOOKUP($AX$9&amp;$AX$10,Data!$A$1:$ZZ$2000,(MATCH($C53,Data!$A$1:$A$2000,0)),FALSE)</f>
        <v>403.2</v>
      </c>
      <c r="AY53" s="156"/>
      <c r="AZ53" s="44"/>
    </row>
    <row r="54" spans="1:52">
      <c r="A54" s="84" t="str">
        <f>$D$1&amp;44</f>
        <v>SD44</v>
      </c>
      <c r="B54" s="85" t="str">
        <f>IF(ISERROR(VLOOKUP(A54,classifications!A:C,3,FALSE)),0,VLOOKUP(A54,classifications!A:C,3,FALSE))</f>
        <v>South Hams</v>
      </c>
      <c r="C54" s="31" t="s">
        <v>27</v>
      </c>
      <c r="D54" s="49" t="str">
        <f>VLOOKUP($C54,classifications!$C:$J,4,FALSE)</f>
        <v>SD</v>
      </c>
      <c r="E54" s="49">
        <f>VLOOKUP(C54,classifications!C:K,9,FALSE)</f>
        <v>0</v>
      </c>
      <c r="F54" s="59" t="str">
        <f t="shared" si="0"/>
        <v>-</v>
      </c>
      <c r="G54" s="105"/>
      <c r="H54" s="60" t="str">
        <f t="shared" si="1"/>
        <v>-</v>
      </c>
      <c r="I54" s="112" t="e">
        <f>IF(H54="","",IF($I$8="A",(RANK(H54,H$11:H$355,1)+COUNTIF(H$11:H54,H54)-1),(RANK(H54,H$11:H$355)+COUNTIF(H$11:H54,H54)-1)))</f>
        <v>#VALUE!</v>
      </c>
      <c r="J54" s="58"/>
      <c r="K54" s="51">
        <f t="shared" si="10"/>
        <v>44</v>
      </c>
      <c r="L54" s="59" t="str">
        <f t="shared" si="2"/>
        <v>Woking</v>
      </c>
      <c r="M54" s="153">
        <f t="shared" si="3"/>
        <v>434.5</v>
      </c>
      <c r="N54" s="148">
        <f t="shared" si="23"/>
        <v>434.5</v>
      </c>
      <c r="O54" s="131">
        <f t="shared" si="11"/>
        <v>434.5</v>
      </c>
      <c r="P54" s="131" t="str">
        <f t="shared" si="19"/>
        <v/>
      </c>
      <c r="Q54" s="131" t="str">
        <f t="shared" si="20"/>
        <v/>
      </c>
      <c r="R54" s="127" t="str">
        <f t="shared" si="21"/>
        <v/>
      </c>
      <c r="S54" s="60" t="str">
        <f t="shared" si="12"/>
        <v/>
      </c>
      <c r="T54" s="228">
        <f>IF(L54="","",VLOOKUP(L54,classifications!C:K,9,FALSE))</f>
        <v>0</v>
      </c>
      <c r="U54" s="235" t="str">
        <f t="shared" si="25"/>
        <v/>
      </c>
      <c r="V54" s="236" t="str">
        <f>IF(U54="","",IF($I$8="A",(RANK(U54,U$11:U$355)+COUNTIF(U$11:U54,U54)-1),(RANK(U54,U$11:U$355,1)+COUNTIF(U$11:U54,U54)-1)))</f>
        <v/>
      </c>
      <c r="W54" s="237"/>
      <c r="X54" s="61" t="str">
        <f>IF(L54="","",VLOOKUP($L54,classifications!$C:$J,6,FALSE))</f>
        <v>Urban with Major Conurbation</v>
      </c>
      <c r="Y54" s="49" t="str">
        <f t="shared" si="4"/>
        <v/>
      </c>
      <c r="Z54" s="57" t="str">
        <f>IF(Y54="","",IF(I$8="A",(RANK(Y54,Y$11:Y$355,1)+COUNTIF(Y$11:Y54,Y54)-1),(RANK(Y54,Y$11:Y$355)+COUNTIF(Y$11:Y54,Y54)-1)))</f>
        <v/>
      </c>
      <c r="AA54" s="242" t="str">
        <f>IF(L54="","",VLOOKUP($L54,classifications!C:I,7,FALSE))</f>
        <v>Predominantly Urban</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Surrey</v>
      </c>
      <c r="AJ54" s="62" t="str">
        <f t="shared" si="5"/>
        <v/>
      </c>
      <c r="AK54" s="57" t="str">
        <f>IF(AJ54="","",IF(I$8="A",(RANK(AJ54,AJ$11:AJ$355,1)+COUNTIF(AJ$11:AJ54,AJ54)-1),(RANK(AJ54,AJ$11:AJ$355)+COUNTIF(AJ$11:AJ54,AJ54)-1)))</f>
        <v/>
      </c>
      <c r="AL54" s="52" t="str">
        <f t="shared" si="16"/>
        <v/>
      </c>
      <c r="AM54" s="31" t="str">
        <f t="shared" si="6"/>
        <v/>
      </c>
      <c r="AN54" s="31" t="str">
        <f t="shared" si="7"/>
        <v/>
      </c>
      <c r="AP54" s="61" t="str">
        <f>IF(L54="","",VLOOKUP($L54,classifications!$C:$E,3,FALSE))</f>
        <v>South East</v>
      </c>
      <c r="AQ54" s="62" t="str">
        <f t="shared" si="17"/>
        <v/>
      </c>
      <c r="AR54" s="57" t="str">
        <f>IF(AQ54="","",IF(I$8="A",(RANK(AQ54,AQ$11:AQ$355,1)+COUNTIF(AQ$11:AQ54,AQ54)-1),(RANK(AQ54,AQ$11:AQ$355)+COUNTIF(AQ$11:AQ54,AQ54)-1)))</f>
        <v/>
      </c>
      <c r="AS54" s="52" t="str">
        <f t="shared" si="18"/>
        <v/>
      </c>
      <c r="AT54" s="57" t="str">
        <f t="shared" si="8"/>
        <v/>
      </c>
      <c r="AU54" s="62" t="str">
        <f t="shared" si="9"/>
        <v/>
      </c>
      <c r="AX54" s="44" t="str">
        <f>HLOOKUP($AX$9&amp;$AX$10,Data!$A$1:$ZZ$2000,(MATCH($C54,Data!$A$1:$A$2000,0)),FALSE)</f>
        <v>-</v>
      </c>
      <c r="AY54" s="156"/>
      <c r="AZ54" s="44"/>
    </row>
    <row r="55" spans="1:52">
      <c r="A55" s="84" t="str">
        <f>$D$1&amp;45</f>
        <v>SD45</v>
      </c>
      <c r="B55" s="85" t="str">
        <f>IF(ISERROR(VLOOKUP(A55,classifications!A:C,3,FALSE)),0,VLOOKUP(A55,classifications!A:C,3,FALSE))</f>
        <v>South Holland</v>
      </c>
      <c r="C55" s="31" t="s">
        <v>302</v>
      </c>
      <c r="D55" s="49" t="str">
        <f>VLOOKUP($C55,classifications!$C:$J,4,FALSE)</f>
        <v>SC</v>
      </c>
      <c r="E55" s="49">
        <f>VLOOKUP(C55,classifications!C:K,9,FALSE)</f>
        <v>0</v>
      </c>
      <c r="F55" s="59">
        <f t="shared" si="0"/>
        <v>467</v>
      </c>
      <c r="G55" s="105"/>
      <c r="H55" s="60" t="str">
        <f t="shared" si="1"/>
        <v/>
      </c>
      <c r="I55" s="112" t="str">
        <f>IF(H55="","",IF($I$8="A",(RANK(H55,H$11:H$355,1)+COUNTIF(H$11:H55,H55)-1),(RANK(H55,H$11:H$355)+COUNTIF(H$11:H55,H55)-1)))</f>
        <v/>
      </c>
      <c r="J55" s="58"/>
      <c r="K55" s="51">
        <f t="shared" si="10"/>
        <v>45</v>
      </c>
      <c r="L55" s="59" t="str">
        <f t="shared" si="2"/>
        <v>Shepway</v>
      </c>
      <c r="M55" s="153">
        <f t="shared" si="3"/>
        <v>436.8</v>
      </c>
      <c r="N55" s="148">
        <f t="shared" si="23"/>
        <v>436.8</v>
      </c>
      <c r="O55" s="131">
        <f t="shared" si="11"/>
        <v>436.8</v>
      </c>
      <c r="P55" s="131" t="str">
        <f t="shared" si="19"/>
        <v/>
      </c>
      <c r="Q55" s="131" t="str">
        <f t="shared" si="20"/>
        <v/>
      </c>
      <c r="R55" s="127" t="str">
        <f t="shared" si="21"/>
        <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Significant Rural (rural including hub towns 26-49%)</v>
      </c>
      <c r="Y55" s="49" t="str">
        <f t="shared" si="4"/>
        <v/>
      </c>
      <c r="Z55" s="57" t="str">
        <f>IF(Y55="","",IF(I$8="A",(RANK(Y55,Y$11:Y$355,1)+COUNTIF(Y$11:Y55,Y55)-1),(RANK(Y55,Y$11:Y$355)+COUNTIF(Y$11:Y55,Y55)-1)))</f>
        <v/>
      </c>
      <c r="AA55" s="242" t="str">
        <f>IF(L55="","",VLOOKUP($L55,classifications!C:I,7,FALSE))</f>
        <v>Significant Rural</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Kent</v>
      </c>
      <c r="AJ55" s="62" t="str">
        <f t="shared" si="5"/>
        <v/>
      </c>
      <c r="AK55" s="57" t="str">
        <f>IF(AJ55="","",IF(I$8="A",(RANK(AJ55,AJ$11:AJ$355,1)+COUNTIF(AJ$11:AJ55,AJ55)-1),(RANK(AJ55,AJ$11:AJ$355)+COUNTIF(AJ$11:AJ55,AJ55)-1)))</f>
        <v/>
      </c>
      <c r="AL55" s="52" t="str">
        <f t="shared" si="16"/>
        <v/>
      </c>
      <c r="AM55" s="31" t="str">
        <f t="shared" si="6"/>
        <v/>
      </c>
      <c r="AN55" s="31" t="str">
        <f t="shared" si="7"/>
        <v/>
      </c>
      <c r="AP55" s="61" t="str">
        <f>IF(L55="","",VLOOKUP($L55,classifications!$C:$E,3,FALSE))</f>
        <v>South East</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467</v>
      </c>
      <c r="AY55" s="156"/>
      <c r="AZ55" s="44"/>
    </row>
    <row r="56" spans="1:52">
      <c r="A56" s="84" t="str">
        <f>$D$1&amp;46</f>
        <v>SD46</v>
      </c>
      <c r="B56" s="85" t="str">
        <f>IF(ISERROR(VLOOKUP(A56,classifications!A:C,3,FALSE)),0,VLOOKUP(A56,classifications!A:C,3,FALSE))</f>
        <v>South Kesteven</v>
      </c>
      <c r="C56" s="31" t="s">
        <v>200</v>
      </c>
      <c r="D56" s="49" t="str">
        <f>VLOOKUP($C56,classifications!$C:$J,4,FALSE)</f>
        <v>L</v>
      </c>
      <c r="E56" s="49">
        <f>VLOOKUP(C56,classifications!C:K,9,FALSE)</f>
        <v>0</v>
      </c>
      <c r="F56" s="59">
        <f t="shared" si="0"/>
        <v>334</v>
      </c>
      <c r="G56" s="105"/>
      <c r="H56" s="60" t="str">
        <f t="shared" si="1"/>
        <v/>
      </c>
      <c r="I56" s="112" t="str">
        <f>IF(H56="","",IF($I$8="A",(RANK(H56,H$11:H$355,1)+COUNTIF(H$11:H56,H56)-1),(RANK(H56,H$11:H$355)+COUNTIF(H$11:H56,H56)-1)))</f>
        <v/>
      </c>
      <c r="J56" s="58"/>
      <c r="K56" s="51">
        <f t="shared" si="10"/>
        <v>46</v>
      </c>
      <c r="L56" s="59" t="str">
        <f t="shared" si="2"/>
        <v>Tunbridge Wells</v>
      </c>
      <c r="M56" s="153">
        <f t="shared" si="3"/>
        <v>438.3</v>
      </c>
      <c r="N56" s="148">
        <f t="shared" si="23"/>
        <v>438.3</v>
      </c>
      <c r="O56" s="131" t="str">
        <f t="shared" si="11"/>
        <v/>
      </c>
      <c r="P56" s="131">
        <f t="shared" si="19"/>
        <v>438.3</v>
      </c>
      <c r="Q56" s="131" t="str">
        <f t="shared" si="20"/>
        <v/>
      </c>
      <c r="R56" s="127" t="str">
        <f t="shared" si="21"/>
        <v/>
      </c>
      <c r="S56" s="60" t="str">
        <f t="shared" si="12"/>
        <v/>
      </c>
      <c r="T56" s="228">
        <f>IF(L56="","",VLOOKUP(L56,classifications!C:K,9,FALSE))</f>
        <v>0</v>
      </c>
      <c r="U56" s="235" t="str">
        <f t="shared" si="25"/>
        <v/>
      </c>
      <c r="V56" s="236" t="str">
        <f>IF(U56="","",IF($I$8="A",(RANK(U56,U$11:U$355)+COUNTIF(U$11:U56,U56)-1),(RANK(U56,U$11:U$355,1)+COUNTIF(U$11:U56,U56)-1)))</f>
        <v/>
      </c>
      <c r="W56" s="237"/>
      <c r="X56" s="61" t="str">
        <f>IF(L56="","",VLOOKUP($L56,classifications!$C:$J,6,FALSE))</f>
        <v>Urban with Significant Rural (rural including hub towns 26-49%)</v>
      </c>
      <c r="Y56" s="49" t="str">
        <f t="shared" si="4"/>
        <v/>
      </c>
      <c r="Z56" s="57" t="str">
        <f>IF(Y56="","",IF(I$8="A",(RANK(Y56,Y$11:Y$355,1)+COUNTIF(Y$11:Y56,Y56)-1),(RANK(Y56,Y$11:Y$355)+COUNTIF(Y$11:Y56,Y56)-1)))</f>
        <v/>
      </c>
      <c r="AA56" s="242" t="str">
        <f>IF(L56="","",VLOOKUP($L56,classifications!C:I,7,FALSE))</f>
        <v>Significant Rural</v>
      </c>
      <c r="AB56" s="236" t="str">
        <f t="shared" si="14"/>
        <v/>
      </c>
      <c r="AC56" s="236" t="str">
        <f>IF(AB56="","",IF($I$8="A",(RANK(AB56,AB$11:AB$355)+COUNTIF(AB$11:AB56,AB56)-1),(RANK(AB56,AB$11:AB$355,1)+COUNTIF(AB$11:AB56,AB56)-1)))</f>
        <v/>
      </c>
      <c r="AD56" s="236"/>
      <c r="AE56" s="51" t="str">
        <f t="shared" si="24"/>
        <v/>
      </c>
      <c r="AG56" s="143"/>
      <c r="AH56" s="52"/>
      <c r="AI56" s="61" t="str">
        <f>IF(L56="","",VLOOKUP($L56,classifications!$C:$J,8,FALSE))</f>
        <v>Kent</v>
      </c>
      <c r="AJ56" s="62" t="str">
        <f t="shared" si="5"/>
        <v/>
      </c>
      <c r="AK56" s="57" t="str">
        <f>IF(AJ56="","",IF(I$8="A",(RANK(AJ56,AJ$11:AJ$355,1)+COUNTIF(AJ$11:AJ56,AJ56)-1),(RANK(AJ56,AJ$11:AJ$355)+COUNTIF(AJ$11:AJ56,AJ56)-1)))</f>
        <v/>
      </c>
      <c r="AL56" s="52" t="str">
        <f t="shared" si="16"/>
        <v/>
      </c>
      <c r="AM56" s="31" t="str">
        <f t="shared" si="6"/>
        <v/>
      </c>
      <c r="AN56" s="31" t="str">
        <f t="shared" si="7"/>
        <v/>
      </c>
      <c r="AP56" s="61" t="str">
        <f>IF(L56="","",VLOOKUP($L56,classifications!$C:$E,3,FALSE))</f>
        <v>South East</v>
      </c>
      <c r="AQ56" s="62" t="str">
        <f t="shared" si="17"/>
        <v/>
      </c>
      <c r="AR56" s="57" t="str">
        <f>IF(AQ56="","",IF(I$8="A",(RANK(AQ56,AQ$11:AQ$355,1)+COUNTIF(AQ$11:AQ56,AQ56)-1),(RANK(AQ56,AQ$11:AQ$355)+COUNTIF(AQ$11:AQ56,AQ56)-1)))</f>
        <v/>
      </c>
      <c r="AS56" s="52" t="str">
        <f t="shared" si="18"/>
        <v/>
      </c>
      <c r="AT56" s="57" t="str">
        <f t="shared" si="8"/>
        <v/>
      </c>
      <c r="AU56" s="62" t="str">
        <f t="shared" si="9"/>
        <v/>
      </c>
      <c r="AX56" s="44">
        <f>HLOOKUP($AX$9&amp;$AX$10,Data!$A$1:$ZZ$2000,(MATCH($C56,Data!$A$1:$A$2000,0)),FALSE)</f>
        <v>334</v>
      </c>
      <c r="AY56" s="156"/>
      <c r="AZ56" s="44"/>
    </row>
    <row r="57" spans="1:52">
      <c r="A57" s="84" t="str">
        <f>$D$1&amp;47</f>
        <v>SD47</v>
      </c>
      <c r="B57" s="85" t="str">
        <f>IF(ISERROR(VLOOKUP(A57,classifications!A:C,3,FALSE)),0,VLOOKUP(A57,classifications!A:C,3,FALSE))</f>
        <v>South Lakeland</v>
      </c>
      <c r="C57" s="31" t="s">
        <v>28</v>
      </c>
      <c r="D57" s="49" t="str">
        <f>VLOOKUP($C57,classifications!$C:$J,4,FALSE)</f>
        <v>SD</v>
      </c>
      <c r="E57" s="49">
        <f>VLOOKUP(C57,classifications!C:K,9,FALSE)</f>
        <v>0</v>
      </c>
      <c r="F57" s="59">
        <f t="shared" si="0"/>
        <v>538.29999999999995</v>
      </c>
      <c r="G57" s="105"/>
      <c r="H57" s="60">
        <f t="shared" si="1"/>
        <v>538.29999999999995</v>
      </c>
      <c r="I57" s="112">
        <f>IF(H57="","",IF($I$8="A",(RANK(H57,H$11:H$355,1)+COUNTIF(H$11:H57,H57)-1),(RANK(H57,H$11:H$355)+COUNTIF(H$11:H57,H57)-1)))</f>
        <v>134</v>
      </c>
      <c r="J57" s="58"/>
      <c r="K57" s="51">
        <f t="shared" si="10"/>
        <v>47</v>
      </c>
      <c r="L57" s="59" t="str">
        <f t="shared" si="2"/>
        <v>South Northamptonshire</v>
      </c>
      <c r="M57" s="153">
        <f t="shared" si="3"/>
        <v>438.4</v>
      </c>
      <c r="N57" s="148">
        <f t="shared" si="23"/>
        <v>438.4</v>
      </c>
      <c r="O57" s="131" t="str">
        <f t="shared" si="11"/>
        <v/>
      </c>
      <c r="P57" s="131">
        <f t="shared" si="19"/>
        <v>438.4</v>
      </c>
      <c r="Q57" s="131" t="str">
        <f t="shared" si="20"/>
        <v/>
      </c>
      <c r="R57" s="127" t="str">
        <f t="shared" si="21"/>
        <v/>
      </c>
      <c r="S57" s="60" t="str">
        <f t="shared" si="12"/>
        <v/>
      </c>
      <c r="T57" s="228" t="str">
        <f>IF(L57="","",VLOOKUP(L57,classifications!C:K,9,FALSE))</f>
        <v>Sparse</v>
      </c>
      <c r="U57" s="235">
        <f t="shared" si="25"/>
        <v>438.4</v>
      </c>
      <c r="V57" s="236">
        <f>IF(U57="","",IF($I$8="A",(RANK(U57,U$11:U$355)+COUNTIF(U$11:U57,U57)-1),(RANK(U57,U$11:U$355,1)+COUNTIF(U$11:U57,U57)-1)))</f>
        <v>42</v>
      </c>
      <c r="W57" s="237"/>
      <c r="X57" s="61" t="str">
        <f>IF(L57="","",VLOOKUP($L57,classifications!$C:$J,6,FALSE))</f>
        <v xml:space="preserve">Mainly Rural (rural including hub towns &gt;=80%) </v>
      </c>
      <c r="Y57" s="49">
        <f t="shared" si="4"/>
        <v>438.4</v>
      </c>
      <c r="Z57" s="57">
        <f>IF(Y57="","",IF(I$8="A",(RANK(Y57,Y$11:Y$355,1)+COUNTIF(Y$11:Y57,Y57)-1),(RANK(Y57,Y$11:Y$355)+COUNTIF(Y$11:Y57,Y57)-1)))</f>
        <v>15</v>
      </c>
      <c r="AA57" s="242" t="str">
        <f>IF(L57="","",VLOOKUP($L57,classifications!C:I,7,FALSE))</f>
        <v>Predominantly Rural</v>
      </c>
      <c r="AB57" s="236">
        <f t="shared" si="14"/>
        <v>438.4</v>
      </c>
      <c r="AC57" s="236">
        <f>IF(AB57="","",IF($I$8="A",(RANK(AB57,AB$11:AB$355)+COUNTIF(AB$11:AB57,AB57)-1),(RANK(AB57,AB$11:AB$355,1)+COUNTIF(AB$11:AB57,AB57)-1)))</f>
        <v>45</v>
      </c>
      <c r="AD57" s="236"/>
      <c r="AE57" s="51" t="str">
        <f t="shared" si="24"/>
        <v/>
      </c>
      <c r="AG57" s="143"/>
      <c r="AH57" s="52"/>
      <c r="AI57" s="61" t="str">
        <f>IF(L57="","",VLOOKUP($L57,classifications!$C:$J,8,FALSE))</f>
        <v>Northamptonshire</v>
      </c>
      <c r="AJ57" s="62" t="str">
        <f t="shared" si="5"/>
        <v/>
      </c>
      <c r="AK57" s="57" t="str">
        <f>IF(AJ57="","",IF(I$8="A",(RANK(AJ57,AJ$11:AJ$355,1)+COUNTIF(AJ$11:AJ57,AJ57)-1),(RANK(AJ57,AJ$11:AJ$355)+COUNTIF(AJ$11:AJ57,AJ57)-1)))</f>
        <v/>
      </c>
      <c r="AL57" s="52" t="str">
        <f t="shared" si="16"/>
        <v/>
      </c>
      <c r="AM57" s="31" t="str">
        <f t="shared" si="6"/>
        <v/>
      </c>
      <c r="AN57" s="31" t="str">
        <f t="shared" si="7"/>
        <v/>
      </c>
      <c r="AP57" s="61" t="str">
        <f>IF(L57="","",VLOOKUP($L57,classifications!$C:$E,3,FALSE))</f>
        <v>East Midlands</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538.29999999999995</v>
      </c>
      <c r="AY57" s="156"/>
      <c r="AZ57" s="44"/>
    </row>
    <row r="58" spans="1:52">
      <c r="A58" s="84" t="str">
        <f>$D$1&amp;48</f>
        <v>SD48</v>
      </c>
      <c r="B58" s="85" t="str">
        <f>IF(ISERROR(VLOOKUP(A58,classifications!A:C,3,FALSE)),0,VLOOKUP(A58,classifications!A:C,3,FALSE))</f>
        <v>South Norfolk</v>
      </c>
      <c r="C58" s="31" t="s">
        <v>29</v>
      </c>
      <c r="D58" s="49" t="str">
        <f>VLOOKUP($C58,classifications!$C:$J,4,FALSE)</f>
        <v>SD</v>
      </c>
      <c r="E58" s="49">
        <f>VLOOKUP(C58,classifications!C:K,9,FALSE)</f>
        <v>0</v>
      </c>
      <c r="F58" s="59">
        <f t="shared" si="0"/>
        <v>465</v>
      </c>
      <c r="G58" s="105"/>
      <c r="H58" s="60">
        <f t="shared" si="1"/>
        <v>465</v>
      </c>
      <c r="I58" s="112">
        <f>IF(H58="","",IF($I$8="A",(RANK(H58,H$11:H$355,1)+COUNTIF(H$11:H58,H58)-1),(RANK(H58,H$11:H$355)+COUNTIF(H$11:H58,H58)-1)))</f>
        <v>69</v>
      </c>
      <c r="J58" s="58"/>
      <c r="K58" s="51">
        <f t="shared" si="10"/>
        <v>48</v>
      </c>
      <c r="L58" s="59" t="str">
        <f t="shared" si="2"/>
        <v>High Peak</v>
      </c>
      <c r="M58" s="153">
        <f t="shared" si="3"/>
        <v>439</v>
      </c>
      <c r="N58" s="148">
        <f t="shared" si="23"/>
        <v>439</v>
      </c>
      <c r="O58" s="131" t="str">
        <f t="shared" si="11"/>
        <v/>
      </c>
      <c r="P58" s="131">
        <f t="shared" si="19"/>
        <v>439</v>
      </c>
      <c r="Q58" s="131" t="str">
        <f t="shared" si="20"/>
        <v/>
      </c>
      <c r="R58" s="127" t="str">
        <f t="shared" si="21"/>
        <v/>
      </c>
      <c r="S58" s="60" t="str">
        <f t="shared" si="12"/>
        <v/>
      </c>
      <c r="T58" s="228">
        <f>IF(L58="","",VLOOKUP(L58,classifications!C:K,9,FALSE))</f>
        <v>0</v>
      </c>
      <c r="U58" s="235" t="str">
        <f t="shared" si="25"/>
        <v/>
      </c>
      <c r="V58" s="236" t="str">
        <f>IF(U58="","",IF($I$8="A",(RANK(U58,U$11:U$355)+COUNTIF(U$11:U58,U58)-1),(RANK(U58,U$11:U$355,1)+COUNTIF(U$11:U58,U58)-1)))</f>
        <v/>
      </c>
      <c r="W58" s="237"/>
      <c r="X58" s="61" t="str">
        <f>IF(L58="","",VLOOKUP($L58,classifications!$C:$J,6,FALSE))</f>
        <v xml:space="preserve">Largely Rural (rural including hub towns 50-79%) </v>
      </c>
      <c r="Y58" s="49" t="str">
        <f t="shared" si="4"/>
        <v/>
      </c>
      <c r="Z58" s="57" t="str">
        <f>IF(Y58="","",IF(I$8="A",(RANK(Y58,Y$11:Y$355,1)+COUNTIF(Y$11:Y58,Y58)-1),(RANK(Y58,Y$11:Y$355)+COUNTIF(Y$11:Y58,Y58)-1)))</f>
        <v/>
      </c>
      <c r="AA58" s="242" t="str">
        <f>IF(L58="","",VLOOKUP($L58,classifications!C:I,7,FALSE))</f>
        <v>Predominantly Rural</v>
      </c>
      <c r="AB58" s="236">
        <f t="shared" si="14"/>
        <v>439</v>
      </c>
      <c r="AC58" s="236">
        <f>IF(AB58="","",IF($I$8="A",(RANK(AB58,AB$11:AB$355)+COUNTIF(AB$11:AB58,AB58)-1),(RANK(AB58,AB$11:AB$355,1)+COUNTIF(AB$11:AB58,AB58)-1)))</f>
        <v>44</v>
      </c>
      <c r="AD58" s="236"/>
      <c r="AE58" s="51" t="str">
        <f t="shared" si="24"/>
        <v/>
      </c>
      <c r="AG58" s="143"/>
      <c r="AH58" s="52"/>
      <c r="AI58" s="61" t="str">
        <f>IF(L58="","",VLOOKUP($L58,classifications!$C:$J,8,FALSE))</f>
        <v>Derbyshire</v>
      </c>
      <c r="AJ58" s="62" t="str">
        <f t="shared" si="5"/>
        <v/>
      </c>
      <c r="AK58" s="57" t="str">
        <f>IF(AJ58="","",IF(I$8="A",(RANK(AJ58,AJ$11:AJ$355,1)+COUNTIF(AJ$11:AJ58,AJ58)-1),(RANK(AJ58,AJ$11:AJ$355)+COUNTIF(AJ$11:AJ58,AJ58)-1)))</f>
        <v/>
      </c>
      <c r="AL58" s="52" t="str">
        <f t="shared" si="16"/>
        <v/>
      </c>
      <c r="AM58" s="31" t="str">
        <f t="shared" si="6"/>
        <v/>
      </c>
      <c r="AN58" s="31" t="str">
        <f t="shared" si="7"/>
        <v/>
      </c>
      <c r="AP58" s="61" t="str">
        <f>IF(L58="","",VLOOKUP($L58,classifications!$C:$E,3,FALSE))</f>
        <v>East Midlands</v>
      </c>
      <c r="AQ58" s="62" t="str">
        <f t="shared" si="17"/>
        <v/>
      </c>
      <c r="AR58" s="57" t="str">
        <f>IF(AQ58="","",IF(I$8="A",(RANK(AQ58,AQ$11:AQ$355,1)+COUNTIF(AQ$11:AQ58,AQ58)-1),(RANK(AQ58,AQ$11:AQ$355)+COUNTIF(AQ$11:AQ58,AQ58)-1)))</f>
        <v/>
      </c>
      <c r="AS58" s="52" t="str">
        <f t="shared" si="18"/>
        <v/>
      </c>
      <c r="AT58" s="57" t="str">
        <f t="shared" si="8"/>
        <v/>
      </c>
      <c r="AU58" s="62" t="str">
        <f t="shared" si="9"/>
        <v/>
      </c>
      <c r="AX58" s="44">
        <f>HLOOKUP($AX$9&amp;$AX$10,Data!$A$1:$ZZ$2000,(MATCH($C58,Data!$A$1:$A$2000,0)),FALSE)</f>
        <v>465</v>
      </c>
      <c r="AY58" s="156"/>
      <c r="AZ58" s="44"/>
    </row>
    <row r="59" spans="1:52">
      <c r="A59" s="84" t="str">
        <f>$D$1&amp;49</f>
        <v>SD49</v>
      </c>
      <c r="B59" s="85" t="str">
        <f>IF(ISERROR(VLOOKUP(A59,classifications!A:C,3,FALSE)),0,VLOOKUP(A59,classifications!A:C,3,FALSE))</f>
        <v>South Northamptonshire</v>
      </c>
      <c r="C59" s="31" t="s">
        <v>30</v>
      </c>
      <c r="D59" s="49" t="str">
        <f>VLOOKUP($C59,classifications!$C:$J,4,FALSE)</f>
        <v>SD</v>
      </c>
      <c r="E59" s="49">
        <f>VLOOKUP(C59,classifications!C:K,9,FALSE)</f>
        <v>0</v>
      </c>
      <c r="F59" s="59">
        <f t="shared" si="0"/>
        <v>518.20000000000005</v>
      </c>
      <c r="G59" s="105"/>
      <c r="H59" s="60">
        <f t="shared" si="1"/>
        <v>518.20000000000005</v>
      </c>
      <c r="I59" s="112">
        <f>IF(H59="","",IF($I$8="A",(RANK(H59,H$11:H$355,1)+COUNTIF(H$11:H59,H59)-1),(RANK(H59,H$11:H$355)+COUNTIF(H$11:H59,H59)-1)))</f>
        <v>117</v>
      </c>
      <c r="J59" s="58"/>
      <c r="K59" s="51">
        <f t="shared" si="10"/>
        <v>49</v>
      </c>
      <c r="L59" s="59" t="str">
        <f t="shared" si="2"/>
        <v>Hyndburn</v>
      </c>
      <c r="M59" s="153">
        <f t="shared" si="3"/>
        <v>439.2</v>
      </c>
      <c r="N59" s="148">
        <f t="shared" si="23"/>
        <v>439.2</v>
      </c>
      <c r="O59" s="131" t="str">
        <f t="shared" si="11"/>
        <v/>
      </c>
      <c r="P59" s="131">
        <f t="shared" si="19"/>
        <v>439.2</v>
      </c>
      <c r="Q59" s="131" t="str">
        <f t="shared" si="20"/>
        <v/>
      </c>
      <c r="R59" s="127" t="str">
        <f t="shared" si="21"/>
        <v/>
      </c>
      <c r="S59" s="60" t="str">
        <f t="shared" si="12"/>
        <v/>
      </c>
      <c r="T59" s="228">
        <f>IF(L59="","",VLOOKUP(L59,classifications!C:K,9,FALSE))</f>
        <v>0</v>
      </c>
      <c r="U59" s="235" t="str">
        <f t="shared" si="25"/>
        <v/>
      </c>
      <c r="V59" s="236" t="str">
        <f>IF(U59="","",IF($I$8="A",(RANK(U59,U$11:U$355)+COUNTIF(U$11:U59,U59)-1),(RANK(U59,U$11:U$355,1)+COUNTIF(U$11:U59,U59)-1)))</f>
        <v/>
      </c>
      <c r="W59" s="237"/>
      <c r="X59" s="61" t="str">
        <f>IF(L59="","",VLOOKUP($L59,classifications!$C:$J,6,FALSE))</f>
        <v>Urban with City and Town</v>
      </c>
      <c r="Y59" s="49" t="str">
        <f t="shared" si="4"/>
        <v/>
      </c>
      <c r="Z59" s="57" t="str">
        <f>IF(Y59="","",IF(I$8="A",(RANK(Y59,Y$11:Y$355,1)+COUNTIF(Y$11:Y59,Y59)-1),(RANK(Y59,Y$11:Y$355)+COUNTIF(Y$11:Y59,Y59)-1)))</f>
        <v/>
      </c>
      <c r="AA59" s="242" t="str">
        <f>IF(L59="","",VLOOKUP($L59,classifications!C:I,7,FALSE))</f>
        <v>Predominantly Urban</v>
      </c>
      <c r="AB59" s="236" t="str">
        <f t="shared" si="14"/>
        <v/>
      </c>
      <c r="AC59" s="236" t="str">
        <f>IF(AB59="","",IF($I$8="A",(RANK(AB59,AB$11:AB$355)+COUNTIF(AB$11:AB59,AB59)-1),(RANK(AB59,AB$11:AB$355,1)+COUNTIF(AB$11:AB59,AB59)-1)))</f>
        <v/>
      </c>
      <c r="AD59" s="236"/>
      <c r="AE59" s="51" t="str">
        <f t="shared" si="24"/>
        <v/>
      </c>
      <c r="AG59" s="143"/>
      <c r="AH59" s="52"/>
      <c r="AI59" s="61" t="str">
        <f>IF(L59="","",VLOOKUP($L59,classifications!$C:$J,8,FALSE))</f>
        <v>Lancashire</v>
      </c>
      <c r="AJ59" s="62" t="str">
        <f t="shared" si="5"/>
        <v/>
      </c>
      <c r="AK59" s="57" t="str">
        <f>IF(AJ59="","",IF(I$8="A",(RANK(AJ59,AJ$11:AJ$355,1)+COUNTIF(AJ$11:AJ59,AJ59)-1),(RANK(AJ59,AJ$11:AJ$355)+COUNTIF(AJ$11:AJ59,AJ59)-1)))</f>
        <v/>
      </c>
      <c r="AL59" s="52" t="str">
        <f t="shared" si="16"/>
        <v/>
      </c>
      <c r="AM59" s="31" t="str">
        <f t="shared" si="6"/>
        <v/>
      </c>
      <c r="AN59" s="31" t="str">
        <f t="shared" si="7"/>
        <v/>
      </c>
      <c r="AP59" s="61" t="str">
        <f>IF(L59="","",VLOOKUP($L59,classifications!$C:$E,3,FALSE))</f>
        <v>North West</v>
      </c>
      <c r="AQ59" s="62">
        <f t="shared" si="17"/>
        <v>439.2</v>
      </c>
      <c r="AR59" s="57">
        <f>IF(AQ59="","",IF(I$8="A",(RANK(AQ59,AQ$11:AQ$355,1)+COUNTIF(AQ$11:AQ59,AQ59)-1),(RANK(AQ59,AQ$11:AQ$355)+COUNTIF(AQ$11:AQ59,AQ59)-1)))</f>
        <v>1</v>
      </c>
      <c r="AS59" s="52" t="str">
        <f t="shared" si="18"/>
        <v/>
      </c>
      <c r="AT59" s="57" t="str">
        <f t="shared" si="8"/>
        <v/>
      </c>
      <c r="AU59" s="62" t="str">
        <f t="shared" si="9"/>
        <v/>
      </c>
      <c r="AX59" s="44">
        <f>HLOOKUP($AX$9&amp;$AX$10,Data!$A$1:$ZZ$2000,(MATCH($C59,Data!$A$1:$A$2000,0)),FALSE)</f>
        <v>518.20000000000005</v>
      </c>
      <c r="AY59" s="156"/>
      <c r="AZ59" s="44"/>
    </row>
    <row r="60" spans="1:52">
      <c r="A60" s="84" t="str">
        <f>$D$1&amp;50</f>
        <v>SD50</v>
      </c>
      <c r="B60" s="85" t="str">
        <f>IF(ISERROR(VLOOKUP(A60,classifications!A:C,3,FALSE)),0,VLOOKUP(A60,classifications!A:C,3,FALSE))</f>
        <v>South Oxfordshire</v>
      </c>
      <c r="C60" s="31" t="s">
        <v>31</v>
      </c>
      <c r="D60" s="49" t="str">
        <f>VLOOKUP($C60,classifications!$C:$J,4,FALSE)</f>
        <v>SD</v>
      </c>
      <c r="E60" s="49">
        <f>VLOOKUP(C60,classifications!C:K,9,FALSE)</f>
        <v>0</v>
      </c>
      <c r="F60" s="59">
        <f t="shared" si="0"/>
        <v>493.4</v>
      </c>
      <c r="G60" s="105"/>
      <c r="H60" s="60">
        <f t="shared" si="1"/>
        <v>493.4</v>
      </c>
      <c r="I60" s="112">
        <f>IF(H60="","",IF($I$8="A",(RANK(H60,H$11:H$355,1)+COUNTIF(H$11:H60,H60)-1),(RANK(H60,H$11:H$355)+COUNTIF(H$11:H60,H60)-1)))</f>
        <v>93</v>
      </c>
      <c r="J60" s="58"/>
      <c r="K60" s="51">
        <f t="shared" si="10"/>
        <v>50</v>
      </c>
      <c r="L60" s="59" t="str">
        <f t="shared" si="2"/>
        <v>Norwich</v>
      </c>
      <c r="M60" s="153">
        <f t="shared" si="3"/>
        <v>439.9</v>
      </c>
      <c r="N60" s="148">
        <f t="shared" si="23"/>
        <v>439.9</v>
      </c>
      <c r="O60" s="131" t="str">
        <f t="shared" si="11"/>
        <v/>
      </c>
      <c r="P60" s="131">
        <f t="shared" si="19"/>
        <v>439.9</v>
      </c>
      <c r="Q60" s="131" t="str">
        <f t="shared" si="20"/>
        <v/>
      </c>
      <c r="R60" s="127" t="str">
        <f t="shared" si="21"/>
        <v/>
      </c>
      <c r="S60" s="60" t="str">
        <f t="shared" si="12"/>
        <v/>
      </c>
      <c r="T60" s="228">
        <f>IF(L60="","",VLOOKUP(L60,classifications!C:K,9,FALSE))</f>
        <v>0</v>
      </c>
      <c r="U60" s="235" t="str">
        <f t="shared" si="25"/>
        <v/>
      </c>
      <c r="V60" s="236" t="str">
        <f>IF(U60="","",IF($I$8="A",(RANK(U60,U$11:U$355)+COUNTIF(U$11:U60,U60)-1),(RANK(U60,U$11:U$355,1)+COUNTIF(U$11:U60,U60)-1)))</f>
        <v/>
      </c>
      <c r="W60" s="237"/>
      <c r="X60" s="61" t="str">
        <f>IF(L60="","",VLOOKUP($L60,classifications!$C:$J,6,FALSE))</f>
        <v>Urban with City and Town</v>
      </c>
      <c r="Y60" s="49" t="str">
        <f t="shared" si="4"/>
        <v/>
      </c>
      <c r="Z60" s="57" t="str">
        <f>IF(Y60="","",IF(I$8="A",(RANK(Y60,Y$11:Y$355,1)+COUNTIF(Y$11:Y60,Y60)-1),(RANK(Y60,Y$11:Y$355)+COUNTIF(Y$11:Y60,Y60)-1)))</f>
        <v/>
      </c>
      <c r="AA60" s="242" t="str">
        <f>IF(L60="","",VLOOKUP($L60,classifications!C:I,7,FALSE))</f>
        <v>Predominantly Urban</v>
      </c>
      <c r="AB60" s="236" t="str">
        <f t="shared" si="14"/>
        <v/>
      </c>
      <c r="AC60" s="236" t="str">
        <f>IF(AB60="","",IF($I$8="A",(RANK(AB60,AB$11:AB$355)+COUNTIF(AB$11:AB60,AB60)-1),(RANK(AB60,AB$11:AB$355,1)+COUNTIF(AB$11:AB60,AB60)-1)))</f>
        <v/>
      </c>
      <c r="AD60" s="236"/>
      <c r="AE60" s="51" t="str">
        <f t="shared" si="24"/>
        <v/>
      </c>
      <c r="AG60" s="143"/>
      <c r="AH60" s="52"/>
      <c r="AI60" s="61" t="str">
        <f>IF(L60="","",VLOOKUP($L60,classifications!$C:$J,8,FALSE))</f>
        <v>Norfolk</v>
      </c>
      <c r="AJ60" s="62" t="str">
        <f t="shared" si="5"/>
        <v/>
      </c>
      <c r="AK60" s="57" t="str">
        <f>IF(AJ60="","",IF(I$8="A",(RANK(AJ60,AJ$11:AJ$355,1)+COUNTIF(AJ$11:AJ60,AJ60)-1),(RANK(AJ60,AJ$11:AJ$355)+COUNTIF(AJ$11:AJ60,AJ60)-1)))</f>
        <v/>
      </c>
      <c r="AL60" s="52" t="str">
        <f t="shared" si="16"/>
        <v/>
      </c>
      <c r="AM60" s="31" t="str">
        <f t="shared" si="6"/>
        <v/>
      </c>
      <c r="AN60" s="31" t="str">
        <f t="shared" si="7"/>
        <v/>
      </c>
      <c r="AP60" s="61" t="str">
        <f>IF(L60="","",VLOOKUP($L60,classifications!$C:$E,3,FALSE))</f>
        <v>East of England</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493.4</v>
      </c>
      <c r="AY60" s="156"/>
      <c r="AZ60" s="44"/>
    </row>
    <row r="61" spans="1:52">
      <c r="A61" s="84" t="str">
        <f>$D$1&amp;51</f>
        <v>SD51</v>
      </c>
      <c r="B61" s="85" t="str">
        <f>IF(ISERROR(VLOOKUP(A61,classifications!A:C,3,FALSE)),0,VLOOKUP(A61,classifications!A:C,3,FALSE))</f>
        <v>South Somerset</v>
      </c>
      <c r="C61" s="31" t="s">
        <v>303</v>
      </c>
      <c r="D61" s="49" t="str">
        <f>VLOOKUP($C61,classifications!$C:$J,4,FALSE)</f>
        <v>UA</v>
      </c>
      <c r="E61" s="49">
        <f>VLOOKUP(C61,classifications!C:K,9,FALSE)</f>
        <v>0</v>
      </c>
      <c r="F61" s="59">
        <f t="shared" si="0"/>
        <v>548.29999999999995</v>
      </c>
      <c r="G61" s="105"/>
      <c r="H61" s="60" t="str">
        <f t="shared" si="1"/>
        <v/>
      </c>
      <c r="I61" s="112" t="str">
        <f>IF(H61="","",IF($I$8="A",(RANK(H61,H$11:H$355,1)+COUNTIF(H$11:H61,H61)-1),(RANK(H61,H$11:H$355)+COUNTIF(H$11:H61,H61)-1)))</f>
        <v/>
      </c>
      <c r="J61" s="58"/>
      <c r="K61" s="51">
        <f t="shared" si="10"/>
        <v>51</v>
      </c>
      <c r="L61" s="59" t="str">
        <f t="shared" si="2"/>
        <v>Hambleton</v>
      </c>
      <c r="M61" s="153">
        <f t="shared" si="3"/>
        <v>440.8</v>
      </c>
      <c r="N61" s="148">
        <f t="shared" si="23"/>
        <v>440.8</v>
      </c>
      <c r="O61" s="131" t="str">
        <f t="shared" si="11"/>
        <v/>
      </c>
      <c r="P61" s="131">
        <f t="shared" si="19"/>
        <v>440.8</v>
      </c>
      <c r="Q61" s="131" t="str">
        <f t="shared" si="20"/>
        <v/>
      </c>
      <c r="R61" s="127" t="str">
        <f t="shared" si="21"/>
        <v/>
      </c>
      <c r="S61" s="60" t="str">
        <f t="shared" si="12"/>
        <v/>
      </c>
      <c r="T61" s="228" t="str">
        <f>IF(L61="","",VLOOKUP(L61,classifications!C:K,9,FALSE))</f>
        <v>Sparse</v>
      </c>
      <c r="U61" s="235">
        <f t="shared" si="25"/>
        <v>440.8</v>
      </c>
      <c r="V61" s="236">
        <f>IF(U61="","",IF($I$8="A",(RANK(U61,U$11:U$355)+COUNTIF(U$11:U61,U61)-1),(RANK(U61,U$11:U$355,1)+COUNTIF(U$11:U61,U61)-1)))</f>
        <v>41</v>
      </c>
      <c r="W61" s="237"/>
      <c r="X61" s="61" t="str">
        <f>IF(L61="","",VLOOKUP($L61,classifications!$C:$J,6,FALSE))</f>
        <v xml:space="preserve">Mainly Rural (rural including hub towns &gt;=80%) </v>
      </c>
      <c r="Y61" s="49">
        <f t="shared" si="4"/>
        <v>440.8</v>
      </c>
      <c r="Z61" s="57">
        <f>IF(Y61="","",IF(I$8="A",(RANK(Y61,Y$11:Y$355,1)+COUNTIF(Y$11:Y61,Y61)-1),(RANK(Y61,Y$11:Y$355)+COUNTIF(Y$11:Y61,Y61)-1)))</f>
        <v>16</v>
      </c>
      <c r="AA61" s="242" t="str">
        <f>IF(L61="","",VLOOKUP($L61,classifications!C:I,7,FALSE))</f>
        <v>Predominantly Rural</v>
      </c>
      <c r="AB61" s="236">
        <f t="shared" si="14"/>
        <v>440.8</v>
      </c>
      <c r="AC61" s="236">
        <f>IF(AB61="","",IF($I$8="A",(RANK(AB61,AB$11:AB$355)+COUNTIF(AB$11:AB61,AB61)-1),(RANK(AB61,AB$11:AB$355,1)+COUNTIF(AB$11:AB61,AB61)-1)))</f>
        <v>43</v>
      </c>
      <c r="AD61" s="236"/>
      <c r="AE61" s="51" t="str">
        <f t="shared" si="24"/>
        <v/>
      </c>
      <c r="AG61" s="143"/>
      <c r="AH61" s="52"/>
      <c r="AI61" s="61" t="str">
        <f>IF(L61="","",VLOOKUP($L61,classifications!$C:$J,8,FALSE))</f>
        <v>North Yorkshire</v>
      </c>
      <c r="AJ61" s="62" t="str">
        <f t="shared" si="5"/>
        <v/>
      </c>
      <c r="AK61" s="57" t="str">
        <f>IF(AJ61="","",IF(I$8="A",(RANK(AJ61,AJ$11:AJ$355,1)+COUNTIF(AJ$11:AJ61,AJ61)-1),(RANK(AJ61,AJ$11:AJ$355)+COUNTIF(AJ$11:AJ61,AJ61)-1)))</f>
        <v/>
      </c>
      <c r="AL61" s="52" t="str">
        <f t="shared" si="16"/>
        <v/>
      </c>
      <c r="AM61" s="31" t="str">
        <f t="shared" si="6"/>
        <v/>
      </c>
      <c r="AN61" s="31" t="str">
        <f t="shared" si="7"/>
        <v/>
      </c>
      <c r="AP61" s="61" t="str">
        <f>IF(L61="","",VLOOKUP($L61,classifications!$C:$E,3,FALSE))</f>
        <v>Yorkshire &amp; Humberside</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548.29999999999995</v>
      </c>
      <c r="AY61" s="156"/>
      <c r="AZ61" s="44"/>
    </row>
    <row r="62" spans="1:52">
      <c r="A62" s="84" t="str">
        <f>$D$1&amp;52</f>
        <v>SD52</v>
      </c>
      <c r="B62" s="85" t="str">
        <f>IF(ISERROR(VLOOKUP(A62,classifications!A:C,3,FALSE)),0,VLOOKUP(A62,classifications!A:C,3,FALSE))</f>
        <v>West Suffolk</v>
      </c>
      <c r="C62" s="31" t="s">
        <v>32</v>
      </c>
      <c r="D62" s="49" t="str">
        <f>VLOOKUP($C62,classifications!$C:$J,4,FALSE)</f>
        <v>SD</v>
      </c>
      <c r="E62" s="49">
        <f>VLOOKUP(C62,classifications!C:K,9,FALSE)</f>
        <v>0</v>
      </c>
      <c r="F62" s="59">
        <f t="shared" si="0"/>
        <v>495.4</v>
      </c>
      <c r="G62" s="105"/>
      <c r="H62" s="60">
        <f t="shared" si="1"/>
        <v>495.4</v>
      </c>
      <c r="I62" s="112">
        <f>IF(H62="","",IF($I$8="A",(RANK(H62,H$11:H$355,1)+COUNTIF(H$11:H62,H62)-1),(RANK(H62,H$11:H$355)+COUNTIF(H$11:H62,H62)-1)))</f>
        <v>94</v>
      </c>
      <c r="J62" s="58"/>
      <c r="K62" s="51">
        <f t="shared" si="10"/>
        <v>52</v>
      </c>
      <c r="L62" s="59" t="str">
        <f t="shared" si="2"/>
        <v>Maidstone</v>
      </c>
      <c r="M62" s="153">
        <f t="shared" si="3"/>
        <v>441.1</v>
      </c>
      <c r="N62" s="148">
        <f t="shared" si="23"/>
        <v>441.1</v>
      </c>
      <c r="O62" s="131" t="str">
        <f t="shared" si="11"/>
        <v/>
      </c>
      <c r="P62" s="131">
        <f t="shared" si="19"/>
        <v>441.1</v>
      </c>
      <c r="Q62" s="131" t="str">
        <f t="shared" si="20"/>
        <v/>
      </c>
      <c r="R62" s="127" t="str">
        <f t="shared" si="21"/>
        <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Urban with Significant Rural (rural including hub towns 26-49%)</v>
      </c>
      <c r="Y62" s="49" t="str">
        <f t="shared" si="4"/>
        <v/>
      </c>
      <c r="Z62" s="57" t="str">
        <f>IF(Y62="","",IF(I$8="A",(RANK(Y62,Y$11:Y$355,1)+COUNTIF(Y$11:Y62,Y62)-1),(RANK(Y62,Y$11:Y$355)+COUNTIF(Y$11:Y62,Y62)-1)))</f>
        <v/>
      </c>
      <c r="AA62" s="242" t="str">
        <f>IF(L62="","",VLOOKUP($L62,classifications!C:I,7,FALSE))</f>
        <v>Significant Rural</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Kent</v>
      </c>
      <c r="AJ62" s="62" t="str">
        <f t="shared" si="5"/>
        <v/>
      </c>
      <c r="AK62" s="57" t="str">
        <f>IF(AJ62="","",IF(I$8="A",(RANK(AJ62,AJ$11:AJ$355,1)+COUNTIF(AJ$11:AJ62,AJ62)-1),(RANK(AJ62,AJ$11:AJ$355)+COUNTIF(AJ$11:AJ62,AJ62)-1)))</f>
        <v/>
      </c>
      <c r="AL62" s="52" t="str">
        <f t="shared" si="16"/>
        <v/>
      </c>
      <c r="AM62" s="31" t="str">
        <f t="shared" si="6"/>
        <v/>
      </c>
      <c r="AN62" s="31" t="str">
        <f t="shared" si="7"/>
        <v/>
      </c>
      <c r="AP62" s="61" t="str">
        <f>IF(L62="","",VLOOKUP($L62,classifications!$C:$E,3,FALSE))</f>
        <v>South East</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495.4</v>
      </c>
      <c r="AY62" s="156"/>
      <c r="AZ62" s="44"/>
    </row>
    <row r="63" spans="1:52">
      <c r="A63" s="84" t="str">
        <f>$D$1&amp;53</f>
        <v>SD53</v>
      </c>
      <c r="B63" s="85" t="str">
        <f>IF(ISERROR(VLOOKUP(A63,classifications!A:C,3,FALSE)),0,VLOOKUP(A63,classifications!A:C,3,FALSE))</f>
        <v>Stafford</v>
      </c>
      <c r="C63" s="31" t="s">
        <v>33</v>
      </c>
      <c r="D63" s="49" t="str">
        <f>VLOOKUP($C63,classifications!$C:$J,4,FALSE)</f>
        <v>SD</v>
      </c>
      <c r="E63" s="49">
        <f>VLOOKUP(C63,classifications!C:K,9,FALSE)</f>
        <v>0</v>
      </c>
      <c r="F63" s="59">
        <f t="shared" si="0"/>
        <v>587.9</v>
      </c>
      <c r="G63" s="105"/>
      <c r="H63" s="60">
        <f t="shared" si="1"/>
        <v>587.9</v>
      </c>
      <c r="I63" s="112">
        <f>IF(H63="","",IF($I$8="A",(RANK(H63,H$11:H$355,1)+COUNTIF(H$11:H63,H63)-1),(RANK(H63,H$11:H$355)+COUNTIF(H$11:H63,H63)-1)))</f>
        <v>163</v>
      </c>
      <c r="J63" s="58"/>
      <c r="K63" s="51">
        <f t="shared" si="10"/>
        <v>53</v>
      </c>
      <c r="L63" s="59" t="str">
        <f t="shared" si="2"/>
        <v>Harrogate</v>
      </c>
      <c r="M63" s="153">
        <f t="shared" si="3"/>
        <v>444.7</v>
      </c>
      <c r="N63" s="148">
        <f t="shared" si="23"/>
        <v>444.7</v>
      </c>
      <c r="O63" s="131" t="str">
        <f t="shared" si="11"/>
        <v/>
      </c>
      <c r="P63" s="131">
        <f t="shared" si="19"/>
        <v>444.7</v>
      </c>
      <c r="Q63" s="131" t="str">
        <f t="shared" si="20"/>
        <v/>
      </c>
      <c r="R63" s="127" t="str">
        <f t="shared" si="21"/>
        <v/>
      </c>
      <c r="S63" s="60" t="str">
        <f t="shared" si="12"/>
        <v/>
      </c>
      <c r="T63" s="228" t="str">
        <f>IF(L63="","",VLOOKUP(L63,classifications!C:K,9,FALSE))</f>
        <v>Sparse</v>
      </c>
      <c r="U63" s="235">
        <f t="shared" si="25"/>
        <v>444.7</v>
      </c>
      <c r="V63" s="236">
        <f>IF(U63="","",IF($I$8="A",(RANK(U63,U$11:U$355)+COUNTIF(U$11:U63,U63)-1),(RANK(U63,U$11:U$355,1)+COUNTIF(U$11:U63,U63)-1)))</f>
        <v>40</v>
      </c>
      <c r="W63" s="237"/>
      <c r="X63" s="61" t="str">
        <f>IF(L63="","",VLOOKUP($L63,classifications!$C:$J,6,FALSE))</f>
        <v>Urban with Significant Rural (rural including hub towns 26-49%)</v>
      </c>
      <c r="Y63" s="49" t="str">
        <f t="shared" si="4"/>
        <v/>
      </c>
      <c r="Z63" s="57" t="str">
        <f>IF(Y63="","",IF(I$8="A",(RANK(Y63,Y$11:Y$355,1)+COUNTIF(Y$11:Y63,Y63)-1),(RANK(Y63,Y$11:Y$355)+COUNTIF(Y$11:Y63,Y63)-1)))</f>
        <v/>
      </c>
      <c r="AA63" s="242" t="str">
        <f>IF(L63="","",VLOOKUP($L63,classifications!C:I,7,FALSE))</f>
        <v>Significant Rural</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North Yorkshire</v>
      </c>
      <c r="AJ63" s="62" t="str">
        <f t="shared" si="5"/>
        <v/>
      </c>
      <c r="AK63" s="57" t="str">
        <f>IF(AJ63="","",IF(I$8="A",(RANK(AJ63,AJ$11:AJ$355,1)+COUNTIF(AJ$11:AJ63,AJ63)-1),(RANK(AJ63,AJ$11:AJ$355)+COUNTIF(AJ$11:AJ63,AJ63)-1)))</f>
        <v/>
      </c>
      <c r="AL63" s="52" t="str">
        <f t="shared" si="16"/>
        <v/>
      </c>
      <c r="AM63" s="31" t="str">
        <f t="shared" si="6"/>
        <v/>
      </c>
      <c r="AN63" s="31" t="str">
        <f t="shared" si="7"/>
        <v/>
      </c>
      <c r="AP63" s="61" t="str">
        <f>IF(L63="","",VLOOKUP($L63,classifications!$C:$E,3,FALSE))</f>
        <v>Yorkshire &amp; Humberside</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587.9</v>
      </c>
      <c r="AY63" s="156"/>
      <c r="AZ63" s="44"/>
    </row>
    <row r="64" spans="1:52">
      <c r="A64" s="84" t="str">
        <f>$D$1&amp;54</f>
        <v>SD54</v>
      </c>
      <c r="B64" s="85" t="str">
        <f>IF(ISERROR(VLOOKUP(A64,classifications!A:C,3,FALSE)),0,VLOOKUP(A64,classifications!A:C,3,FALSE))</f>
        <v>Stratford-on-Avon</v>
      </c>
      <c r="C64" s="31" t="s">
        <v>34</v>
      </c>
      <c r="D64" s="49" t="str">
        <f>VLOOKUP($C64,classifications!$C:$J,4,FALSE)</f>
        <v>SD</v>
      </c>
      <c r="E64" s="49">
        <f>VLOOKUP(C64,classifications!C:K,9,FALSE)</f>
        <v>0</v>
      </c>
      <c r="F64" s="59">
        <f t="shared" si="0"/>
        <v>460.1</v>
      </c>
      <c r="G64" s="105"/>
      <c r="H64" s="60">
        <f t="shared" si="1"/>
        <v>460.1</v>
      </c>
      <c r="I64" s="112">
        <f>IF(H64="","",IF($I$8="A",(RANK(H64,H$11:H$355,1)+COUNTIF(H$11:H64,H64)-1),(RANK(H64,H$11:H$355)+COUNTIF(H$11:H64,H64)-1)))</f>
        <v>65</v>
      </c>
      <c r="J64" s="58"/>
      <c r="K64" s="51">
        <f t="shared" si="10"/>
        <v>54</v>
      </c>
      <c r="L64" s="59" t="str">
        <f t="shared" si="2"/>
        <v>Cherwell</v>
      </c>
      <c r="M64" s="153">
        <f t="shared" si="3"/>
        <v>445.7</v>
      </c>
      <c r="N64" s="148">
        <f t="shared" si="23"/>
        <v>445.7</v>
      </c>
      <c r="O64" s="131" t="str">
        <f t="shared" si="11"/>
        <v/>
      </c>
      <c r="P64" s="131">
        <f t="shared" si="19"/>
        <v>445.7</v>
      </c>
      <c r="Q64" s="131" t="str">
        <f t="shared" si="20"/>
        <v/>
      </c>
      <c r="R64" s="127" t="str">
        <f t="shared" si="21"/>
        <v/>
      </c>
      <c r="S64" s="60" t="str">
        <f t="shared" si="12"/>
        <v/>
      </c>
      <c r="T64" s="228">
        <f>IF(L64="","",VLOOKUP(L64,classifications!C:K,9,FALSE))</f>
        <v>0</v>
      </c>
      <c r="U64" s="235" t="str">
        <f t="shared" si="25"/>
        <v/>
      </c>
      <c r="V64" s="236" t="str">
        <f>IF(U64="","",IF($I$8="A",(RANK(U64,U$11:U$355)+COUNTIF(U$11:U64,U64)-1),(RANK(U64,U$11:U$355,1)+COUNTIF(U$11:U64,U64)-1)))</f>
        <v/>
      </c>
      <c r="W64" s="237"/>
      <c r="X64" s="61" t="str">
        <f>IF(L64="","",VLOOKUP($L64,classifications!$C:$J,6,FALSE))</f>
        <v>Urban with Significant Rural (rural including hub towns 26-49%)</v>
      </c>
      <c r="Y64" s="49" t="str">
        <f t="shared" si="4"/>
        <v/>
      </c>
      <c r="Z64" s="57" t="str">
        <f>IF(Y64="","",IF(I$8="A",(RANK(Y64,Y$11:Y$355,1)+COUNTIF(Y$11:Y64,Y64)-1),(RANK(Y64,Y$11:Y$355)+COUNTIF(Y$11:Y64,Y64)-1)))</f>
        <v/>
      </c>
      <c r="AA64" s="242" t="str">
        <f>IF(L64="","",VLOOKUP($L64,classifications!C:I,7,FALSE))</f>
        <v>Significant Rural</v>
      </c>
      <c r="AB64" s="236" t="str">
        <f t="shared" si="14"/>
        <v/>
      </c>
      <c r="AC64" s="236" t="str">
        <f>IF(AB64="","",IF($I$8="A",(RANK(AB64,AB$11:AB$355)+COUNTIF(AB$11:AB64,AB64)-1),(RANK(AB64,AB$11:AB$355,1)+COUNTIF(AB$11:AB64,AB64)-1)))</f>
        <v/>
      </c>
      <c r="AD64" s="236"/>
      <c r="AE64" s="51" t="str">
        <f t="shared" si="24"/>
        <v/>
      </c>
      <c r="AG64" s="143"/>
      <c r="AH64" s="52"/>
      <c r="AI64" s="61" t="str">
        <f>IF(L64="","",VLOOKUP($L64,classifications!$C:$J,8,FALSE))</f>
        <v>Oxfordshire</v>
      </c>
      <c r="AJ64" s="62" t="str">
        <f t="shared" si="5"/>
        <v/>
      </c>
      <c r="AK64" s="57" t="str">
        <f>IF(AJ64="","",IF(I$8="A",(RANK(AJ64,AJ$11:AJ$355,1)+COUNTIF(AJ$11:AJ64,AJ64)-1),(RANK(AJ64,AJ$11:AJ$355)+COUNTIF(AJ$11:AJ64,AJ64)-1)))</f>
        <v/>
      </c>
      <c r="AL64" s="52" t="str">
        <f t="shared" si="16"/>
        <v/>
      </c>
      <c r="AM64" s="31" t="str">
        <f t="shared" si="6"/>
        <v/>
      </c>
      <c r="AN64" s="31" t="str">
        <f t="shared" si="7"/>
        <v/>
      </c>
      <c r="AP64" s="61" t="str">
        <f>IF(L64="","",VLOOKUP($L64,classifications!$C:$E,3,FALSE))</f>
        <v>South East</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460.1</v>
      </c>
      <c r="AY64" s="156"/>
      <c r="AZ64" s="44"/>
    </row>
    <row r="65" spans="1:52">
      <c r="A65" s="84" t="str">
        <f>$D$1&amp;55</f>
        <v>SD55</v>
      </c>
      <c r="B65" s="85" t="str">
        <f>IF(ISERROR(VLOOKUP(A65,classifications!A:C,3,FALSE)),0,VLOOKUP(A65,classifications!A:C,3,FALSE))</f>
        <v>Stroud</v>
      </c>
      <c r="C65" s="31" t="s">
        <v>35</v>
      </c>
      <c r="D65" s="49" t="str">
        <f>VLOOKUP($C65,classifications!$C:$J,4,FALSE)</f>
        <v>SD</v>
      </c>
      <c r="E65" s="49">
        <f>VLOOKUP(C65,classifications!C:K,9,FALSE)</f>
        <v>0</v>
      </c>
      <c r="F65" s="59">
        <f t="shared" si="0"/>
        <v>445.7</v>
      </c>
      <c r="G65" s="105"/>
      <c r="H65" s="60">
        <f t="shared" si="1"/>
        <v>445.7</v>
      </c>
      <c r="I65" s="112">
        <f>IF(H65="","",IF($I$8="A",(RANK(H65,H$11:H$355,1)+COUNTIF(H$11:H65,H65)-1),(RANK(H65,H$11:H$355)+COUNTIF(H$11:H65,H65)-1)))</f>
        <v>54</v>
      </c>
      <c r="J65" s="58"/>
      <c r="K65" s="51">
        <f t="shared" si="10"/>
        <v>55</v>
      </c>
      <c r="L65" s="59" t="str">
        <f t="shared" si="2"/>
        <v>Epsom &amp; Ewell</v>
      </c>
      <c r="M65" s="153">
        <f t="shared" si="3"/>
        <v>447</v>
      </c>
      <c r="N65" s="148">
        <f t="shared" si="23"/>
        <v>447</v>
      </c>
      <c r="O65" s="131" t="str">
        <f t="shared" si="11"/>
        <v/>
      </c>
      <c r="P65" s="131">
        <f t="shared" si="19"/>
        <v>447</v>
      </c>
      <c r="Q65" s="131" t="str">
        <f t="shared" si="20"/>
        <v/>
      </c>
      <c r="R65" s="127" t="str">
        <f t="shared" si="21"/>
        <v/>
      </c>
      <c r="S65" s="60" t="str">
        <f t="shared" si="12"/>
        <v/>
      </c>
      <c r="T65" s="228">
        <f>IF(L65="","",VLOOKUP(L65,classifications!C:K,9,FALSE))</f>
        <v>0</v>
      </c>
      <c r="U65" s="235" t="str">
        <f t="shared" si="25"/>
        <v/>
      </c>
      <c r="V65" s="236" t="str">
        <f>IF(U65="","",IF($I$8="A",(RANK(U65,U$11:U$355)+COUNTIF(U$11:U65,U65)-1),(RANK(U65,U$11:U$355,1)+COUNTIF(U$11:U65,U65)-1)))</f>
        <v/>
      </c>
      <c r="W65" s="237"/>
      <c r="X65" s="61" t="str">
        <f>IF(L65="","",VLOOKUP($L65,classifications!$C:$J,6,FALSE))</f>
        <v>Urban with Major Conurbation</v>
      </c>
      <c r="Y65" s="49" t="str">
        <f t="shared" si="4"/>
        <v/>
      </c>
      <c r="Z65" s="57" t="str">
        <f>IF(Y65="","",IF(I$8="A",(RANK(Y65,Y$11:Y$355,1)+COUNTIF(Y$11:Y65,Y65)-1),(RANK(Y65,Y$11:Y$355)+COUNTIF(Y$11:Y65,Y65)-1)))</f>
        <v/>
      </c>
      <c r="AA65" s="242" t="str">
        <f>IF(L65="","",VLOOKUP($L65,classifications!C:I,7,FALSE))</f>
        <v>Predominantly Urban</v>
      </c>
      <c r="AB65" s="236" t="str">
        <f t="shared" si="14"/>
        <v/>
      </c>
      <c r="AC65" s="236" t="str">
        <f>IF(AB65="","",IF($I$8="A",(RANK(AB65,AB$11:AB$355)+COUNTIF(AB$11:AB65,AB65)-1),(RANK(AB65,AB$11:AB$355,1)+COUNTIF(AB$11:AB65,AB65)-1)))</f>
        <v/>
      </c>
      <c r="AD65" s="236"/>
      <c r="AE65" s="51" t="str">
        <f t="shared" si="24"/>
        <v/>
      </c>
      <c r="AG65" s="143"/>
      <c r="AH65" s="52"/>
      <c r="AI65" s="61" t="str">
        <f>IF(L65="","",VLOOKUP($L65,classifications!$C:$J,8,FALSE))</f>
        <v>Surrey</v>
      </c>
      <c r="AJ65" s="62" t="str">
        <f t="shared" si="5"/>
        <v/>
      </c>
      <c r="AK65" s="57" t="str">
        <f>IF(AJ65="","",IF(I$8="A",(RANK(AJ65,AJ$11:AJ$355,1)+COUNTIF(AJ$11:AJ65,AJ65)-1),(RANK(AJ65,AJ$11:AJ$355)+COUNTIF(AJ$11:AJ65,AJ65)-1)))</f>
        <v/>
      </c>
      <c r="AL65" s="52" t="str">
        <f t="shared" si="16"/>
        <v/>
      </c>
      <c r="AM65" s="31" t="str">
        <f t="shared" si="6"/>
        <v/>
      </c>
      <c r="AN65" s="31" t="str">
        <f t="shared" si="7"/>
        <v/>
      </c>
      <c r="AP65" s="61" t="str">
        <f>IF(L65="","",VLOOKUP($L65,classifications!$C:$E,3,FALSE))</f>
        <v>South East</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445.7</v>
      </c>
      <c r="AY65" s="156"/>
      <c r="AZ65" s="44"/>
    </row>
    <row r="66" spans="1:52">
      <c r="A66" s="84" t="str">
        <f>$D$1&amp;56</f>
        <v>SD56</v>
      </c>
      <c r="B66" s="85" t="str">
        <f>IF(ISERROR(VLOOKUP(A66,classifications!A:C,3,FALSE)),0,VLOOKUP(A66,classifications!A:C,3,FALSE))</f>
        <v>East Suffolk</v>
      </c>
      <c r="C66" s="31" t="s">
        <v>304</v>
      </c>
      <c r="D66" s="49" t="str">
        <f>VLOOKUP($C66,classifications!$C:$J,4,FALSE)</f>
        <v>UA</v>
      </c>
      <c r="E66" s="49">
        <f>VLOOKUP(C66,classifications!C:K,9,FALSE)</f>
        <v>0</v>
      </c>
      <c r="F66" s="59">
        <f t="shared" si="0"/>
        <v>476</v>
      </c>
      <c r="G66" s="105"/>
      <c r="H66" s="60" t="str">
        <f t="shared" si="1"/>
        <v/>
      </c>
      <c r="I66" s="112" t="str">
        <f>IF(H66="","",IF($I$8="A",(RANK(H66,H$11:H$355,1)+COUNTIF(H$11:H66,H66)-1),(RANK(H66,H$11:H$355)+COUNTIF(H$11:H66,H66)-1)))</f>
        <v/>
      </c>
      <c r="J66" s="58"/>
      <c r="K66" s="51">
        <f t="shared" si="10"/>
        <v>56</v>
      </c>
      <c r="L66" s="59" t="str">
        <f t="shared" si="2"/>
        <v>Arun</v>
      </c>
      <c r="M66" s="153">
        <f t="shared" si="3"/>
        <v>448.1</v>
      </c>
      <c r="N66" s="148">
        <f t="shared" si="23"/>
        <v>448.1</v>
      </c>
      <c r="O66" s="131" t="str">
        <f t="shared" si="11"/>
        <v/>
      </c>
      <c r="P66" s="131">
        <f t="shared" si="19"/>
        <v>448.1</v>
      </c>
      <c r="Q66" s="131" t="str">
        <f t="shared" si="20"/>
        <v/>
      </c>
      <c r="R66" s="127" t="str">
        <f t="shared" si="21"/>
        <v/>
      </c>
      <c r="S66" s="60" t="str">
        <f t="shared" si="12"/>
        <v/>
      </c>
      <c r="T66" s="228">
        <f>IF(L66="","",VLOOKUP(L66,classifications!C:K,9,FALSE))</f>
        <v>0</v>
      </c>
      <c r="U66" s="235" t="str">
        <f t="shared" si="25"/>
        <v/>
      </c>
      <c r="V66" s="236" t="str">
        <f>IF(U66="","",IF($I$8="A",(RANK(U66,U$11:U$355)+COUNTIF(U$11:U66,U66)-1),(RANK(U66,U$11:U$355,1)+COUNTIF(U$11:U66,U66)-1)))</f>
        <v/>
      </c>
      <c r="W66" s="237"/>
      <c r="X66" s="61" t="str">
        <f>IF(L66="","",VLOOKUP($L66,classifications!$C:$J,6,FALSE))</f>
        <v>Urban with City and Town</v>
      </c>
      <c r="Y66" s="49" t="str">
        <f t="shared" si="4"/>
        <v/>
      </c>
      <c r="Z66" s="57" t="str">
        <f>IF(Y66="","",IF(I$8="A",(RANK(Y66,Y$11:Y$355,1)+COUNTIF(Y$11:Y66,Y66)-1),(RANK(Y66,Y$11:Y$355)+COUNTIF(Y$11:Y66,Y66)-1)))</f>
        <v/>
      </c>
      <c r="AA66" s="242" t="str">
        <f>IF(L66="","",VLOOKUP($L66,classifications!C:I,7,FALSE))</f>
        <v>Predominantly Urban</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West Sussex</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South East</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476</v>
      </c>
      <c r="AY66" s="156"/>
      <c r="AZ66" s="44"/>
    </row>
    <row r="67" spans="1:52">
      <c r="A67" s="84" t="str">
        <f>$D$1&amp;57</f>
        <v>SD57</v>
      </c>
      <c r="B67" s="85" t="str">
        <f>IF(ISERROR(VLOOKUP(A67,classifications!A:C,3,FALSE)),0,VLOOKUP(A67,classifications!A:C,3,FALSE))</f>
        <v>Teignbridge</v>
      </c>
      <c r="C67" s="31" t="s">
        <v>812</v>
      </c>
      <c r="D67" s="49" t="str">
        <f>VLOOKUP($C67,classifications!$C:$J,4,FALSE)</f>
        <v>UA</v>
      </c>
      <c r="E67" s="49">
        <f>VLOOKUP(C67,classifications!C:K,9,FALSE)</f>
        <v>0</v>
      </c>
      <c r="F67" s="59">
        <f t="shared" si="0"/>
        <v>493.7</v>
      </c>
      <c r="G67" s="105"/>
      <c r="H67" s="60" t="str">
        <f t="shared" si="1"/>
        <v/>
      </c>
      <c r="I67" s="112" t="str">
        <f>IF(H67="","",IF($I$8="A",(RANK(H67,H$11:H$355,1)+COUNTIF(H$11:H67,H67)-1),(RANK(H67,H$11:H$355)+COUNTIF(H$11:H67,H67)-1)))</f>
        <v/>
      </c>
      <c r="J67" s="58"/>
      <c r="K67" s="51">
        <f t="shared" si="10"/>
        <v>57</v>
      </c>
      <c r="L67" s="59" t="str">
        <f t="shared" si="2"/>
        <v>Eden</v>
      </c>
      <c r="M67" s="153">
        <f t="shared" si="3"/>
        <v>449</v>
      </c>
      <c r="N67" s="148">
        <f t="shared" si="23"/>
        <v>449</v>
      </c>
      <c r="O67" s="131" t="str">
        <f t="shared" si="11"/>
        <v/>
      </c>
      <c r="P67" s="131">
        <f t="shared" si="19"/>
        <v>449</v>
      </c>
      <c r="Q67" s="131" t="str">
        <f t="shared" si="20"/>
        <v/>
      </c>
      <c r="R67" s="127" t="str">
        <f t="shared" si="21"/>
        <v/>
      </c>
      <c r="S67" s="60" t="str">
        <f t="shared" si="12"/>
        <v/>
      </c>
      <c r="T67" s="228" t="str">
        <f>IF(L67="","",VLOOKUP(L67,classifications!C:K,9,FALSE))</f>
        <v>Sparse</v>
      </c>
      <c r="U67" s="235">
        <f t="shared" si="25"/>
        <v>449</v>
      </c>
      <c r="V67" s="236">
        <f>IF(U67="","",IF($I$8="A",(RANK(U67,U$11:U$355)+COUNTIF(U$11:U67,U67)-1),(RANK(U67,U$11:U$355,1)+COUNTIF(U$11:U67,U67)-1)))</f>
        <v>39</v>
      </c>
      <c r="W67" s="237"/>
      <c r="X67" s="61" t="str">
        <f>IF(L67="","",VLOOKUP($L67,classifications!$C:$J,6,FALSE))</f>
        <v xml:space="preserve">Mainly Rural (rural including hub towns &gt;=80%) </v>
      </c>
      <c r="Y67" s="49">
        <f t="shared" si="4"/>
        <v>449</v>
      </c>
      <c r="Z67" s="57">
        <f>IF(Y67="","",IF(I$8="A",(RANK(Y67,Y$11:Y$355,1)+COUNTIF(Y$11:Y67,Y67)-1),(RANK(Y67,Y$11:Y$355)+COUNTIF(Y$11:Y67,Y67)-1)))</f>
        <v>17</v>
      </c>
      <c r="AA67" s="242" t="str">
        <f>IF(L67="","",VLOOKUP($L67,classifications!C:I,7,FALSE))</f>
        <v>Predominantly Rural</v>
      </c>
      <c r="AB67" s="236">
        <f t="shared" si="14"/>
        <v>449</v>
      </c>
      <c r="AC67" s="236">
        <f>IF(AB67="","",IF($I$8="A",(RANK(AB67,AB$11:AB$355)+COUNTIF(AB$11:AB67,AB67)-1),(RANK(AB67,AB$11:AB$355,1)+COUNTIF(AB$11:AB67,AB67)-1)))</f>
        <v>42</v>
      </c>
      <c r="AD67" s="236"/>
      <c r="AE67" s="51" t="str">
        <f t="shared" si="24"/>
        <v/>
      </c>
      <c r="AG67" s="143"/>
      <c r="AH67" s="52"/>
      <c r="AI67" s="61" t="str">
        <f>IF(L67="","",VLOOKUP($L67,classifications!$C:$J,8,FALSE))</f>
        <v>Cumbria</v>
      </c>
      <c r="AJ67" s="62">
        <f t="shared" si="5"/>
        <v>449</v>
      </c>
      <c r="AK67" s="57">
        <f>IF(AJ67="","",IF(I$8="A",(RANK(AJ67,AJ$11:AJ$355,1)+COUNTIF(AJ$11:AJ67,AJ67)-1),(RANK(AJ67,AJ$11:AJ$355)+COUNTIF(AJ$11:AJ67,AJ67)-1)))</f>
        <v>1</v>
      </c>
      <c r="AL67" s="52" t="str">
        <f t="shared" si="16"/>
        <v/>
      </c>
      <c r="AM67" s="31" t="str">
        <f t="shared" si="6"/>
        <v/>
      </c>
      <c r="AN67" s="31" t="str">
        <f t="shared" si="7"/>
        <v/>
      </c>
      <c r="AP67" s="61" t="str">
        <f>IF(L67="","",VLOOKUP($L67,classifications!$C:$E,3,FALSE))</f>
        <v>North West</v>
      </c>
      <c r="AQ67" s="62">
        <f t="shared" si="17"/>
        <v>449</v>
      </c>
      <c r="AR67" s="57">
        <f>IF(AQ67="","",IF(I$8="A",(RANK(AQ67,AQ$11:AQ$355,1)+COUNTIF(AQ$11:AQ67,AQ67)-1),(RANK(AQ67,AQ$11:AQ$355)+COUNTIF(AQ$11:AQ67,AQ67)-1)))</f>
        <v>2</v>
      </c>
      <c r="AS67" s="52" t="str">
        <f t="shared" si="18"/>
        <v/>
      </c>
      <c r="AT67" s="57" t="str">
        <f t="shared" si="8"/>
        <v/>
      </c>
      <c r="AU67" s="62" t="str">
        <f t="shared" si="9"/>
        <v/>
      </c>
      <c r="AX67" s="44">
        <f>HLOOKUP($AX$9&amp;$AX$10,Data!$A$1:$ZZ$2000,(MATCH($C67,Data!$A$1:$A$2000,0)),FALSE)</f>
        <v>493.7</v>
      </c>
      <c r="AY67" s="156"/>
      <c r="AZ67" s="44"/>
    </row>
    <row r="68" spans="1:52">
      <c r="A68" s="84" t="str">
        <f>$D$1&amp;58</f>
        <v>SD58</v>
      </c>
      <c r="B68" s="85" t="str">
        <f>IF(ISERROR(VLOOKUP(A68,classifications!A:C,3,FALSE)),0,VLOOKUP(A68,classifications!A:C,3,FALSE))</f>
        <v>Tewkesbury</v>
      </c>
      <c r="C68" s="31" t="s">
        <v>36</v>
      </c>
      <c r="D68" s="49" t="str">
        <f>VLOOKUP($C68,classifications!$C:$J,4,FALSE)</f>
        <v>SD</v>
      </c>
      <c r="E68" s="49">
        <f>VLOOKUP(C68,classifications!C:K,9,FALSE)</f>
        <v>0</v>
      </c>
      <c r="F68" s="59">
        <f t="shared" si="0"/>
        <v>512.70000000000005</v>
      </c>
      <c r="G68" s="105"/>
      <c r="H68" s="60">
        <f t="shared" si="1"/>
        <v>512.70000000000005</v>
      </c>
      <c r="I68" s="112">
        <f>IF(H68="","",IF($I$8="A",(RANK(H68,H$11:H$355,1)+COUNTIF(H$11:H68,H68)-1),(RANK(H68,H$11:H$355)+COUNTIF(H$11:H68,H68)-1)))</f>
        <v>115</v>
      </c>
      <c r="J68" s="58"/>
      <c r="K68" s="51">
        <f t="shared" si="10"/>
        <v>58</v>
      </c>
      <c r="L68" s="59" t="str">
        <f t="shared" si="2"/>
        <v>Lewes</v>
      </c>
      <c r="M68" s="153">
        <f t="shared" si="3"/>
        <v>449.3</v>
      </c>
      <c r="N68" s="148">
        <f t="shared" si="23"/>
        <v>449.3</v>
      </c>
      <c r="O68" s="131" t="str">
        <f t="shared" si="11"/>
        <v/>
      </c>
      <c r="P68" s="131">
        <f t="shared" si="19"/>
        <v>449.3</v>
      </c>
      <c r="Q68" s="131" t="str">
        <f t="shared" si="20"/>
        <v/>
      </c>
      <c r="R68" s="127" t="str">
        <f t="shared" si="21"/>
        <v/>
      </c>
      <c r="S68" s="60" t="str">
        <f t="shared" si="12"/>
        <v/>
      </c>
      <c r="T68" s="228" t="str">
        <f>IF(L68="","",VLOOKUP(L68,classifications!C:K,9,FALSE))</f>
        <v>Sparse</v>
      </c>
      <c r="U68" s="235">
        <f t="shared" si="25"/>
        <v>449.3</v>
      </c>
      <c r="V68" s="236">
        <f>IF(U68="","",IF($I$8="A",(RANK(U68,U$11:U$355)+COUNTIF(U$11:U68,U68)-1),(RANK(U68,U$11:U$355,1)+COUNTIF(U$11:U68,U68)-1)))</f>
        <v>38</v>
      </c>
      <c r="W68" s="237"/>
      <c r="X68" s="61" t="str">
        <f>IF(L68="","",VLOOKUP($L68,classifications!$C:$J,6,FALSE))</f>
        <v>Urban with Significant Rural (rural including hub towns 26-49%)</v>
      </c>
      <c r="Y68" s="49" t="str">
        <f t="shared" si="4"/>
        <v/>
      </c>
      <c r="Z68" s="57" t="str">
        <f>IF(Y68="","",IF(I$8="A",(RANK(Y68,Y$11:Y$355,1)+COUNTIF(Y$11:Y68,Y68)-1),(RANK(Y68,Y$11:Y$355)+COUNTIF(Y$11:Y68,Y68)-1)))</f>
        <v/>
      </c>
      <c r="AA68" s="242" t="str">
        <f>IF(L68="","",VLOOKUP($L68,classifications!C:I,7,FALSE))</f>
        <v>Significant Rural</v>
      </c>
      <c r="AB68" s="236" t="str">
        <f t="shared" si="14"/>
        <v/>
      </c>
      <c r="AC68" s="236" t="str">
        <f>IF(AB68="","",IF($I$8="A",(RANK(AB68,AB$11:AB$355)+COUNTIF(AB$11:AB68,AB68)-1),(RANK(AB68,AB$11:AB$355,1)+COUNTIF(AB$11:AB68,AB68)-1)))</f>
        <v/>
      </c>
      <c r="AD68" s="236"/>
      <c r="AE68" s="51" t="str">
        <f t="shared" si="24"/>
        <v/>
      </c>
      <c r="AG68" s="143"/>
      <c r="AH68" s="52"/>
      <c r="AI68" s="61" t="str">
        <f>IF(L68="","",VLOOKUP($L68,classifications!$C:$J,8,FALSE))</f>
        <v>East Sussex</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South East</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512.70000000000005</v>
      </c>
      <c r="AY68" s="156"/>
      <c r="AZ68" s="44"/>
    </row>
    <row r="69" spans="1:52">
      <c r="A69" s="84" t="str">
        <f>$D$1&amp;59</f>
        <v>SD59</v>
      </c>
      <c r="B69" s="85" t="str">
        <f>IF(ISERROR(VLOOKUP(A69,classifications!A:C,3,FALSE)),0,VLOOKUP(A69,classifications!A:C,3,FALSE))</f>
        <v>Torridge</v>
      </c>
      <c r="C69" s="31" t="s">
        <v>37</v>
      </c>
      <c r="D69" s="49" t="str">
        <f>VLOOKUP($C69,classifications!$C:$J,4,FALSE)</f>
        <v>SD</v>
      </c>
      <c r="E69" s="49" t="str">
        <f>VLOOKUP(C69,classifications!C:K,9,FALSE)</f>
        <v>Sparse</v>
      </c>
      <c r="F69" s="59">
        <f t="shared" si="0"/>
        <v>466.3</v>
      </c>
      <c r="G69" s="105"/>
      <c r="H69" s="60">
        <f t="shared" si="1"/>
        <v>466.3</v>
      </c>
      <c r="I69" s="112">
        <f>IF(H69="","",IF($I$8="A",(RANK(H69,H$11:H$355,1)+COUNTIF(H$11:H69,H69)-1),(RANK(H69,H$11:H$355)+COUNTIF(H$11:H69,H69)-1)))</f>
        <v>71</v>
      </c>
      <c r="J69" s="58"/>
      <c r="K69" s="51">
        <f t="shared" si="10"/>
        <v>59</v>
      </c>
      <c r="L69" s="59" t="str">
        <f t="shared" si="2"/>
        <v>Welwyn Hatfield</v>
      </c>
      <c r="M69" s="153">
        <f t="shared" si="3"/>
        <v>452.6</v>
      </c>
      <c r="N69" s="148">
        <f t="shared" si="23"/>
        <v>452.6</v>
      </c>
      <c r="O69" s="131" t="str">
        <f t="shared" si="11"/>
        <v/>
      </c>
      <c r="P69" s="131">
        <f t="shared" si="19"/>
        <v>452.6</v>
      </c>
      <c r="Q69" s="131" t="str">
        <f t="shared" si="20"/>
        <v/>
      </c>
      <c r="R69" s="127" t="str">
        <f t="shared" si="21"/>
        <v/>
      </c>
      <c r="S69" s="60" t="str">
        <f t="shared" si="12"/>
        <v/>
      </c>
      <c r="T69" s="228">
        <f>IF(L69="","",VLOOKUP(L69,classifications!C:K,9,FALSE))</f>
        <v>0</v>
      </c>
      <c r="U69" s="235" t="str">
        <f t="shared" si="25"/>
        <v/>
      </c>
      <c r="V69" s="236" t="str">
        <f>IF(U69="","",IF($I$8="A",(RANK(U69,U$11:U$355)+COUNTIF(U$11:U69,U69)-1),(RANK(U69,U$11:U$355,1)+COUNTIF(U$11:U69,U69)-1)))</f>
        <v/>
      </c>
      <c r="W69" s="237"/>
      <c r="X69" s="61" t="str">
        <f>IF(L69="","",VLOOKUP($L69,classifications!$C:$J,6,FALSE))</f>
        <v>Urban with City and Town</v>
      </c>
      <c r="Y69" s="49" t="str">
        <f t="shared" si="4"/>
        <v/>
      </c>
      <c r="Z69" s="57" t="str">
        <f>IF(Y69="","",IF(I$8="A",(RANK(Y69,Y$11:Y$355,1)+COUNTIF(Y$11:Y69,Y69)-1),(RANK(Y69,Y$11:Y$355)+COUNTIF(Y$11:Y69,Y69)-1)))</f>
        <v/>
      </c>
      <c r="AA69" s="242" t="str">
        <f>IF(L69="","",VLOOKUP($L69,classifications!C:I,7,FALSE))</f>
        <v>Predominantly Urban</v>
      </c>
      <c r="AB69" s="236" t="str">
        <f t="shared" si="14"/>
        <v/>
      </c>
      <c r="AC69" s="236" t="str">
        <f>IF(AB69="","",IF($I$8="A",(RANK(AB69,AB$11:AB$355)+COUNTIF(AB$11:AB69,AB69)-1),(RANK(AB69,AB$11:AB$355,1)+COUNTIF(AB$11:AB69,AB69)-1)))</f>
        <v/>
      </c>
      <c r="AD69" s="236"/>
      <c r="AE69" s="51" t="str">
        <f t="shared" si="24"/>
        <v/>
      </c>
      <c r="AG69" s="143"/>
      <c r="AH69" s="52"/>
      <c r="AI69" s="61" t="str">
        <f>IF(L69="","",VLOOKUP($L69,classifications!$C:$J,8,FALSE))</f>
        <v>Hertfordshire</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East of England</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466.3</v>
      </c>
      <c r="AY69" s="156"/>
      <c r="AZ69" s="44"/>
    </row>
    <row r="70" spans="1:52">
      <c r="A70" s="84" t="str">
        <f>$D$1&amp;60</f>
        <v>SD60</v>
      </c>
      <c r="B70" s="85" t="str">
        <f>IF(ISERROR(VLOOKUP(A70,classifications!A:C,3,FALSE)),0,VLOOKUP(A70,classifications!A:C,3,FALSE))</f>
        <v>Uttlesford</v>
      </c>
      <c r="C70" s="31" t="s">
        <v>38</v>
      </c>
      <c r="D70" s="49" t="str">
        <f>VLOOKUP($C70,classifications!$C:$J,4,FALSE)</f>
        <v>SD</v>
      </c>
      <c r="E70" s="49">
        <f>VLOOKUP(C70,classifications!C:K,9,FALSE)</f>
        <v>0</v>
      </c>
      <c r="F70" s="59" t="str">
        <f t="shared" si="0"/>
        <v>-</v>
      </c>
      <c r="G70" s="105"/>
      <c r="H70" s="60" t="str">
        <f t="shared" si="1"/>
        <v>-</v>
      </c>
      <c r="I70" s="112" t="e">
        <f>IF(H70="","",IF($I$8="A",(RANK(H70,H$11:H$355,1)+COUNTIF(H$11:H70,H70)-1),(RANK(H70,H$11:H$355)+COUNTIF(H$11:H70,H70)-1)))</f>
        <v>#VALUE!</v>
      </c>
      <c r="J70" s="58"/>
      <c r="K70" s="51">
        <f t="shared" si="10"/>
        <v>60</v>
      </c>
      <c r="L70" s="59" t="str">
        <f t="shared" si="2"/>
        <v>Spelthorne</v>
      </c>
      <c r="M70" s="153">
        <f t="shared" si="3"/>
        <v>457</v>
      </c>
      <c r="N70" s="148">
        <f t="shared" si="23"/>
        <v>457</v>
      </c>
      <c r="O70" s="131" t="str">
        <f t="shared" si="11"/>
        <v/>
      </c>
      <c r="P70" s="131">
        <f t="shared" si="19"/>
        <v>457</v>
      </c>
      <c r="Q70" s="131" t="str">
        <f t="shared" si="20"/>
        <v/>
      </c>
      <c r="R70" s="127" t="str">
        <f t="shared" si="21"/>
        <v/>
      </c>
      <c r="S70" s="60" t="str">
        <f t="shared" si="12"/>
        <v/>
      </c>
      <c r="T70" s="228">
        <f>IF(L70="","",VLOOKUP(L70,classifications!C:K,9,FALSE))</f>
        <v>0</v>
      </c>
      <c r="U70" s="235" t="str">
        <f t="shared" si="25"/>
        <v/>
      </c>
      <c r="V70" s="236" t="str">
        <f>IF(U70="","",IF($I$8="A",(RANK(U70,U$11:U$355)+COUNTIF(U$11:U70,U70)-1),(RANK(U70,U$11:U$355,1)+COUNTIF(U$11:U70,U70)-1)))</f>
        <v/>
      </c>
      <c r="W70" s="237"/>
      <c r="X70" s="61" t="str">
        <f>IF(L70="","",VLOOKUP($L70,classifications!$C:$J,6,FALSE))</f>
        <v>Urban with Major Conurbation</v>
      </c>
      <c r="Y70" s="49" t="str">
        <f t="shared" si="4"/>
        <v/>
      </c>
      <c r="Z70" s="57" t="str">
        <f>IF(Y70="","",IF(I$8="A",(RANK(Y70,Y$11:Y$355,1)+COUNTIF(Y$11:Y70,Y70)-1),(RANK(Y70,Y$11:Y$355)+COUNTIF(Y$11:Y70,Y70)-1)))</f>
        <v/>
      </c>
      <c r="AA70" s="242" t="str">
        <f>IF(L70="","",VLOOKUP($L70,classifications!C:I,7,FALSE))</f>
        <v>Predominantly Urban</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Surrey</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South East</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SD61</v>
      </c>
      <c r="B71" s="85" t="str">
        <f>IF(ISERROR(VLOOKUP(A71,classifications!A:C,3,FALSE)),0,VLOOKUP(A71,classifications!A:C,3,FALSE))</f>
        <v>Vale of White Horse</v>
      </c>
      <c r="C71" s="31" t="s">
        <v>39</v>
      </c>
      <c r="D71" s="49" t="str">
        <f>VLOOKUP($C71,classifications!$C:$J,4,FALSE)</f>
        <v>SD</v>
      </c>
      <c r="E71" s="49">
        <f>VLOOKUP(C71,classifications!C:K,9,FALSE)</f>
        <v>0</v>
      </c>
      <c r="F71" s="59">
        <f t="shared" si="0"/>
        <v>524.29999999999995</v>
      </c>
      <c r="G71" s="105"/>
      <c r="H71" s="60">
        <f t="shared" si="1"/>
        <v>524.29999999999995</v>
      </c>
      <c r="I71" s="112">
        <f>IF(H71="","",IF($I$8="A",(RANK(H71,H$11:H$355,1)+COUNTIF(H$11:H71,H71)-1),(RANK(H71,H$11:H$355)+COUNTIF(H$11:H71,H71)-1)))</f>
        <v>121</v>
      </c>
      <c r="J71" s="58"/>
      <c r="K71" s="51">
        <f t="shared" si="10"/>
        <v>61</v>
      </c>
      <c r="L71" s="59" t="str">
        <f t="shared" si="2"/>
        <v>Wealden</v>
      </c>
      <c r="M71" s="153">
        <f t="shared" si="3"/>
        <v>458.2</v>
      </c>
      <c r="N71" s="148">
        <f t="shared" si="23"/>
        <v>458.2</v>
      </c>
      <c r="O71" s="131" t="str">
        <f t="shared" si="11"/>
        <v/>
      </c>
      <c r="P71" s="131">
        <f t="shared" si="19"/>
        <v>458.2</v>
      </c>
      <c r="Q71" s="131" t="str">
        <f t="shared" si="20"/>
        <v/>
      </c>
      <c r="R71" s="127" t="str">
        <f t="shared" si="21"/>
        <v/>
      </c>
      <c r="S71" s="60" t="str">
        <f t="shared" si="12"/>
        <v/>
      </c>
      <c r="T71" s="228" t="str">
        <f>IF(L71="","",VLOOKUP(L71,classifications!C:K,9,FALSE))</f>
        <v>Sparse</v>
      </c>
      <c r="U71" s="235">
        <f t="shared" si="25"/>
        <v>458.2</v>
      </c>
      <c r="V71" s="236">
        <f>IF(U71="","",IF($I$8="A",(RANK(U71,U$11:U$355)+COUNTIF(U$11:U71,U71)-1),(RANK(U71,U$11:U$355,1)+COUNTIF(U$11:U71,U71)-1)))</f>
        <v>37</v>
      </c>
      <c r="W71" s="237"/>
      <c r="X71" s="61" t="str">
        <f>IF(L71="","",VLOOKUP($L71,classifications!$C:$J,6,FALSE))</f>
        <v xml:space="preserve">Mainly Rural (rural including hub towns &gt;=80%) </v>
      </c>
      <c r="Y71" s="49">
        <f t="shared" si="4"/>
        <v>458.2</v>
      </c>
      <c r="Z71" s="57">
        <f>IF(Y71="","",IF(I$8="A",(RANK(Y71,Y$11:Y$355,1)+COUNTIF(Y$11:Y71,Y71)-1),(RANK(Y71,Y$11:Y$355)+COUNTIF(Y$11:Y71,Y71)-1)))</f>
        <v>18</v>
      </c>
      <c r="AA71" s="242" t="str">
        <f>IF(L71="","",VLOOKUP($L71,classifications!C:I,7,FALSE))</f>
        <v>Predominantly Rural</v>
      </c>
      <c r="AB71" s="236">
        <f t="shared" si="14"/>
        <v>458.2</v>
      </c>
      <c r="AC71" s="236">
        <f>IF(AB71="","",IF($I$8="A",(RANK(AB71,AB$11:AB$355)+COUNTIF(AB$11:AB71,AB71)-1),(RANK(AB71,AB$11:AB$355,1)+COUNTIF(AB$11:AB71,AB71)-1)))</f>
        <v>41</v>
      </c>
      <c r="AD71" s="236"/>
      <c r="AE71" s="51" t="str">
        <f t="shared" si="24"/>
        <v/>
      </c>
      <c r="AG71" s="143"/>
      <c r="AH71" s="52"/>
      <c r="AI71" s="61" t="str">
        <f>IF(L71="","",VLOOKUP($L71,classifications!$C:$J,8,FALSE))</f>
        <v>East Sussex</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South East</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524.29999999999995</v>
      </c>
      <c r="AY71" s="156"/>
      <c r="AZ71" s="44"/>
    </row>
    <row r="72" spans="1:52">
      <c r="A72" s="84" t="str">
        <f>$D$1&amp;62</f>
        <v>SD62</v>
      </c>
      <c r="B72" s="85" t="str">
        <f>IF(ISERROR(VLOOKUP(A72,classifications!A:C,3,FALSE)),0,VLOOKUP(A72,classifications!A:C,3,FALSE))</f>
        <v>Wealden</v>
      </c>
      <c r="C72" s="31" t="s">
        <v>369</v>
      </c>
      <c r="D72" s="49" t="str">
        <f>VLOOKUP($C72,classifications!$C:$J,4,FALSE)</f>
        <v>L</v>
      </c>
      <c r="E72" s="49">
        <f>VLOOKUP(C72,classifications!C:K,9,FALSE)</f>
        <v>0</v>
      </c>
      <c r="F72" s="59">
        <f t="shared" si="0"/>
        <v>287.10000000000002</v>
      </c>
      <c r="G72" s="105"/>
      <c r="H72" s="60" t="str">
        <f t="shared" si="1"/>
        <v/>
      </c>
      <c r="I72" s="112" t="str">
        <f>IF(H72="","",IF($I$8="A",(RANK(H72,H$11:H$355,1)+COUNTIF(H$11:H72,H72)-1),(RANK(H72,H$11:H$355)+COUNTIF(H$11:H72,H72)-1)))</f>
        <v/>
      </c>
      <c r="J72" s="58"/>
      <c r="K72" s="51">
        <f t="shared" si="10"/>
        <v>62</v>
      </c>
      <c r="L72" s="59" t="str">
        <f t="shared" si="2"/>
        <v>Harlow</v>
      </c>
      <c r="M72" s="153">
        <f t="shared" si="3"/>
        <v>458.6</v>
      </c>
      <c r="N72" s="148">
        <f t="shared" si="23"/>
        <v>458.6</v>
      </c>
      <c r="O72" s="131" t="str">
        <f t="shared" si="11"/>
        <v/>
      </c>
      <c r="P72" s="131">
        <f t="shared" si="19"/>
        <v>458.6</v>
      </c>
      <c r="Q72" s="131" t="str">
        <f t="shared" si="20"/>
        <v/>
      </c>
      <c r="R72" s="127" t="str">
        <f t="shared" si="21"/>
        <v/>
      </c>
      <c r="S72" s="60" t="str">
        <f t="shared" si="12"/>
        <v/>
      </c>
      <c r="T72" s="228">
        <f>IF(L72="","",VLOOKUP(L72,classifications!C:K,9,FALSE))</f>
        <v>0</v>
      </c>
      <c r="U72" s="235" t="str">
        <f t="shared" si="25"/>
        <v/>
      </c>
      <c r="V72" s="236" t="str">
        <f>IF(U72="","",IF($I$8="A",(RANK(U72,U$11:U$355)+COUNTIF(U$11:U72,U72)-1),(RANK(U72,U$11:U$355,1)+COUNTIF(U$11:U72,U72)-1)))</f>
        <v/>
      </c>
      <c r="W72" s="237"/>
      <c r="X72" s="61" t="str">
        <f>IF(L72="","",VLOOKUP($L72,classifications!$C:$J,6,FALSE))</f>
        <v>Urban with City and Town</v>
      </c>
      <c r="Y72" s="49" t="str">
        <f t="shared" si="4"/>
        <v/>
      </c>
      <c r="Z72" s="57" t="str">
        <f>IF(Y72="","",IF(I$8="A",(RANK(Y72,Y$11:Y$355,1)+COUNTIF(Y$11:Y72,Y72)-1),(RANK(Y72,Y$11:Y$355)+COUNTIF(Y$11:Y72,Y72)-1)))</f>
        <v/>
      </c>
      <c r="AA72" s="242" t="str">
        <f>IF(L72="","",VLOOKUP($L72,classifications!C:I,7,FALSE))</f>
        <v>Predominantly Urban</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Essex</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East of England</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287.10000000000002</v>
      </c>
      <c r="AY72" s="156"/>
      <c r="AZ72" s="44"/>
    </row>
    <row r="73" spans="1:52">
      <c r="A73" s="84" t="str">
        <f>$D$1&amp;63</f>
        <v>SD63</v>
      </c>
      <c r="B73" s="85" t="str">
        <f>IF(ISERROR(VLOOKUP(A73,classifications!A:C,3,FALSE)),0,VLOOKUP(A73,classifications!A:C,3,FALSE))</f>
        <v>West Devon</v>
      </c>
      <c r="C73" s="31" t="s">
        <v>41</v>
      </c>
      <c r="D73" s="49" t="str">
        <f>VLOOKUP($C73,classifications!$C:$J,4,FALSE)</f>
        <v>SD</v>
      </c>
      <c r="E73" s="49">
        <f>VLOOKUP(C73,classifications!C:K,9,FALSE)</f>
        <v>0</v>
      </c>
      <c r="F73" s="59">
        <f t="shared" si="0"/>
        <v>307.3</v>
      </c>
      <c r="G73" s="105"/>
      <c r="H73" s="60">
        <f t="shared" si="1"/>
        <v>307.3</v>
      </c>
      <c r="I73" s="112">
        <f>IF(H73="","",IF($I$8="A",(RANK(H73,H$11:H$355,1)+COUNTIF(H$11:H73,H73)-1),(RANK(H73,H$11:H$355)+COUNTIF(H$11:H73,H73)-1)))</f>
        <v>3</v>
      </c>
      <c r="J73" s="58"/>
      <c r="K73" s="51">
        <f t="shared" si="10"/>
        <v>63</v>
      </c>
      <c r="L73" s="59" t="str">
        <f t="shared" si="2"/>
        <v>Daventry</v>
      </c>
      <c r="M73" s="153">
        <f t="shared" si="3"/>
        <v>459.1</v>
      </c>
      <c r="N73" s="148">
        <f t="shared" si="23"/>
        <v>459.1</v>
      </c>
      <c r="O73" s="131" t="str">
        <f t="shared" si="11"/>
        <v/>
      </c>
      <c r="P73" s="131">
        <f t="shared" si="19"/>
        <v>459.1</v>
      </c>
      <c r="Q73" s="131" t="str">
        <f t="shared" si="20"/>
        <v/>
      </c>
      <c r="R73" s="127" t="str">
        <f t="shared" si="21"/>
        <v/>
      </c>
      <c r="S73" s="60" t="str">
        <f t="shared" si="12"/>
        <v/>
      </c>
      <c r="T73" s="228" t="str">
        <f>IF(L73="","",VLOOKUP(L73,classifications!C:K,9,FALSE))</f>
        <v>Sparse</v>
      </c>
      <c r="U73" s="235">
        <f t="shared" si="25"/>
        <v>459.1</v>
      </c>
      <c r="V73" s="236">
        <f>IF(U73="","",IF($I$8="A",(RANK(U73,U$11:U$355)+COUNTIF(U$11:U73,U73)-1),(RANK(U73,U$11:U$355,1)+COUNTIF(U$11:U73,U73)-1)))</f>
        <v>36</v>
      </c>
      <c r="W73" s="237"/>
      <c r="X73" s="61" t="str">
        <f>IF(L73="","",VLOOKUP($L73,classifications!$C:$J,6,FALSE))</f>
        <v xml:space="preserve">Mainly Rural (rural including hub towns &gt;=80%) </v>
      </c>
      <c r="Y73" s="49">
        <f t="shared" si="4"/>
        <v>459.1</v>
      </c>
      <c r="Z73" s="57">
        <f>IF(Y73="","",IF(I$8="A",(RANK(Y73,Y$11:Y$355,1)+COUNTIF(Y$11:Y73,Y73)-1),(RANK(Y73,Y$11:Y$355)+COUNTIF(Y$11:Y73,Y73)-1)))</f>
        <v>19</v>
      </c>
      <c r="AA73" s="242" t="str">
        <f>IF(L73="","",VLOOKUP($L73,classifications!C:I,7,FALSE))</f>
        <v>Predominantly Rural</v>
      </c>
      <c r="AB73" s="236">
        <f t="shared" si="14"/>
        <v>459.1</v>
      </c>
      <c r="AC73" s="236">
        <f>IF(AB73="","",IF($I$8="A",(RANK(AB73,AB$11:AB$355)+COUNTIF(AB$11:AB73,AB73)-1),(RANK(AB73,AB$11:AB$355,1)+COUNTIF(AB$11:AB73,AB73)-1)))</f>
        <v>40</v>
      </c>
      <c r="AD73" s="236"/>
      <c r="AE73" s="51" t="str">
        <f t="shared" si="24"/>
        <v/>
      </c>
      <c r="AG73" s="143"/>
      <c r="AH73" s="52"/>
      <c r="AI73" s="61" t="str">
        <f>IF(L73="","",VLOOKUP($L73,classifications!$C:$J,8,FALSE))</f>
        <v>Northamptonshire</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East Midlands</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307.3</v>
      </c>
      <c r="AY73" s="156"/>
      <c r="AZ73" s="44"/>
    </row>
    <row r="74" spans="1:52">
      <c r="A74" s="84" t="str">
        <f>$D$1&amp;64</f>
        <v>SD64</v>
      </c>
      <c r="B74" s="85" t="str">
        <f>IF(ISERROR(VLOOKUP(A74,classifications!A:C,3,FALSE)),0,VLOOKUP(A74,classifications!A:C,3,FALSE))</f>
        <v>West Lindsey</v>
      </c>
      <c r="C74" s="31" t="s">
        <v>42</v>
      </c>
      <c r="D74" s="49" t="str">
        <f>VLOOKUP($C74,classifications!$C:$J,4,FALSE)</f>
        <v>SD</v>
      </c>
      <c r="E74" s="49" t="str">
        <f>VLOOKUP(C74,classifications!C:K,9,FALSE)</f>
        <v>Sparse</v>
      </c>
      <c r="F74" s="59">
        <f t="shared" si="0"/>
        <v>538.79999999999995</v>
      </c>
      <c r="G74" s="105"/>
      <c r="H74" s="60">
        <f t="shared" si="1"/>
        <v>538.79999999999995</v>
      </c>
      <c r="I74" s="112">
        <f>IF(H74="","",IF($I$8="A",(RANK(H74,H$11:H$355,1)+COUNTIF(H$11:H74,H74)-1),(RANK(H74,H$11:H$355)+COUNTIF(H$11:H74,H74)-1)))</f>
        <v>135</v>
      </c>
      <c r="J74" s="58"/>
      <c r="K74" s="51">
        <f t="shared" si="10"/>
        <v>64</v>
      </c>
      <c r="L74" s="59" t="str">
        <f t="shared" si="2"/>
        <v>Tewkesbury</v>
      </c>
      <c r="M74" s="153">
        <f t="shared" si="3"/>
        <v>459.6</v>
      </c>
      <c r="N74" s="148">
        <f t="shared" si="23"/>
        <v>459.6</v>
      </c>
      <c r="O74" s="131" t="str">
        <f t="shared" si="11"/>
        <v/>
      </c>
      <c r="P74" s="131">
        <f t="shared" si="19"/>
        <v>459.6</v>
      </c>
      <c r="Q74" s="131" t="str">
        <f t="shared" si="20"/>
        <v/>
      </c>
      <c r="R74" s="127" t="str">
        <f t="shared" si="21"/>
        <v/>
      </c>
      <c r="S74" s="60" t="str">
        <f t="shared" si="12"/>
        <v/>
      </c>
      <c r="T74" s="228" t="str">
        <f>IF(L74="","",VLOOKUP(L74,classifications!C:K,9,FALSE))</f>
        <v>Sparse</v>
      </c>
      <c r="U74" s="235">
        <f t="shared" si="25"/>
        <v>459.6</v>
      </c>
      <c r="V74" s="236">
        <f>IF(U74="","",IF($I$8="A",(RANK(U74,U$11:U$355)+COUNTIF(U$11:U74,U74)-1),(RANK(U74,U$11:U$355,1)+COUNTIF(U$11:U74,U74)-1)))</f>
        <v>35</v>
      </c>
      <c r="W74" s="237"/>
      <c r="X74" s="61" t="str">
        <f>IF(L74="","",VLOOKUP($L74,classifications!$C:$J,6,FALSE))</f>
        <v xml:space="preserve">Largely Rural (rural including hub towns 50-79%) </v>
      </c>
      <c r="Y74" s="49" t="str">
        <f t="shared" si="4"/>
        <v/>
      </c>
      <c r="Z74" s="57" t="str">
        <f>IF(Y74="","",IF(I$8="A",(RANK(Y74,Y$11:Y$355,1)+COUNTIF(Y$11:Y74,Y74)-1),(RANK(Y74,Y$11:Y$355)+COUNTIF(Y$11:Y74,Y74)-1)))</f>
        <v/>
      </c>
      <c r="AA74" s="242" t="str">
        <f>IF(L74="","",VLOOKUP($L74,classifications!C:I,7,FALSE))</f>
        <v>Predominantly Rural</v>
      </c>
      <c r="AB74" s="236">
        <f t="shared" si="14"/>
        <v>459.6</v>
      </c>
      <c r="AC74" s="236">
        <f>IF(AB74="","",IF($I$8="A",(RANK(AB74,AB$11:AB$355)+COUNTIF(AB$11:AB74,AB74)-1),(RANK(AB74,AB$11:AB$355,1)+COUNTIF(AB$11:AB74,AB74)-1)))</f>
        <v>39</v>
      </c>
      <c r="AD74" s="236"/>
      <c r="AE74" s="51" t="str">
        <f t="shared" si="24"/>
        <v/>
      </c>
      <c r="AG74" s="143"/>
      <c r="AH74" s="52"/>
      <c r="AI74" s="61" t="str">
        <f>IF(L74="","",VLOOKUP($L74,classifications!$C:$J,8,FALSE))</f>
        <v>Gloucestershire</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South West</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538.79999999999995</v>
      </c>
      <c r="AY74" s="156"/>
      <c r="AZ74" s="44"/>
    </row>
    <row r="75" spans="1:52">
      <c r="A75" s="84" t="str">
        <f>$D$1&amp;65</f>
        <v>SD65</v>
      </c>
      <c r="B75" s="85" t="str">
        <f>IF(ISERROR(VLOOKUP(A75,classifications!A:C,3,FALSE)),0,VLOOKUP(A75,classifications!A:C,3,FALSE))</f>
        <v>West Oxfordshire</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v>
      </c>
      <c r="I75" s="112" t="e">
        <f>IF(H75="","",IF($I$8="A",(RANK(H75,H$11:H$355,1)+COUNTIF(H$11:H75,H75)-1),(RANK(H75,H$11:H$355)+COUNTIF(H$11:H75,H75)-1)))</f>
        <v>#VALUE!</v>
      </c>
      <c r="J75" s="58"/>
      <c r="K75" s="51">
        <f t="shared" si="10"/>
        <v>65</v>
      </c>
      <c r="L75" s="59" t="str">
        <f t="shared" ref="L75:L138" si="28">IF(K75="","",INDEX(C$11:C$355,MATCH(K75,I$11:I$355,0)))</f>
        <v>Cheltenham</v>
      </c>
      <c r="M75" s="153">
        <f t="shared" ref="M75:M138" si="29">IF(L75="","",IF(VLOOKUP(L75,C:D,2,FALSE)=$F$3,VLOOKUP(L75,C:H,6,FALSE),""))</f>
        <v>460.1</v>
      </c>
      <c r="N75" s="148">
        <f t="shared" si="23"/>
        <v>460.1</v>
      </c>
      <c r="O75" s="131" t="str">
        <f t="shared" ref="O75:O138" si="30">IF(I$8="A",IF(N75&gt;=$P$7,IF(N75&lt;=$O$10,N75,""),""),IF(N75&lt;=$P$7,IF(N75&gt;=$O$10,N75,""),""))</f>
        <v/>
      </c>
      <c r="P75" s="131">
        <f t="shared" si="19"/>
        <v>460.1</v>
      </c>
      <c r="Q75" s="131" t="str">
        <f t="shared" si="20"/>
        <v/>
      </c>
      <c r="R75" s="127" t="str">
        <f t="shared" si="21"/>
        <v/>
      </c>
      <c r="S75" s="60" t="str">
        <f t="shared" si="12"/>
        <v/>
      </c>
      <c r="T75" s="228">
        <f>IF(L75="","",VLOOKUP(L75,classifications!C:K,9,FALSE))</f>
        <v>0</v>
      </c>
      <c r="U75" s="235" t="str">
        <f t="shared" ref="U75:U138" si="31">IF(T75="Sparse",M75,"")</f>
        <v/>
      </c>
      <c r="V75" s="236" t="str">
        <f>IF(U75="","",IF($I$8="A",(RANK(U75,U$11:U$355)+COUNTIF(U$11:U75,U75)-1),(RANK(U75,U$11:U$355,1)+COUNTIF(U$11:U75,U75)-1)))</f>
        <v/>
      </c>
      <c r="W75" s="237"/>
      <c r="X75" s="61" t="str">
        <f>IF(L75="","",VLOOKUP($L75,classifications!$C:$J,6,FALSE))</f>
        <v>Urban with City and Town</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Predominantly Urban</v>
      </c>
      <c r="AB75" s="236" t="str">
        <f t="shared" si="14"/>
        <v/>
      </c>
      <c r="AC75" s="236" t="str">
        <f>IF(AB75="","",IF($I$8="A",(RANK(AB75,AB$11:AB$355)+COUNTIF(AB$11:AB75,AB75)-1),(RANK(AB75,AB$11:AB$355,1)+COUNTIF(AB$11:AB75,AB75)-1)))</f>
        <v/>
      </c>
      <c r="AD75" s="236"/>
      <c r="AE75" s="51" t="str">
        <f t="shared" si="24"/>
        <v/>
      </c>
      <c r="AG75" s="143"/>
      <c r="AH75" s="52"/>
      <c r="AI75" s="61" t="str">
        <f>IF(L75="","",VLOOKUP($L75,classifications!$C:$J,8,FALSE))</f>
        <v>Gloucestershire</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South West</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SD66</v>
      </c>
      <c r="B76" s="85" t="str">
        <f>IF(ISERROR(VLOOKUP(A76,classifications!A:C,3,FALSE)),0,VLOOKUP(A76,classifications!A:C,3,FALSE))</f>
        <v>Wychavon</v>
      </c>
      <c r="C76" s="31" t="s">
        <v>305</v>
      </c>
      <c r="D76" s="49" t="str">
        <f>VLOOKUP($C76,classifications!$C:$J,4,FALSE)</f>
        <v>UA</v>
      </c>
      <c r="E76" s="49" t="str">
        <f>VLOOKUP(C76,classifications!C:K,9,FALSE)</f>
        <v>Sparse</v>
      </c>
      <c r="F76" s="59">
        <f t="shared" si="26"/>
        <v>663.4</v>
      </c>
      <c r="G76" s="105"/>
      <c r="H76" s="60" t="str">
        <f t="shared" si="27"/>
        <v/>
      </c>
      <c r="I76" s="112" t="str">
        <f>IF(H76="","",IF($I$8="A",(RANK(H76,H$11:H$355,1)+COUNTIF(H$11:H76,H76)-1),(RANK(H76,H$11:H$355)+COUNTIF(H$11:H76,H76)-1)))</f>
        <v/>
      </c>
      <c r="J76" s="58"/>
      <c r="K76" s="51">
        <f t="shared" ref="K76:K139" si="38">IF(K75="","",IF(K75+1&gt;(COUNT(H$11:H$355)),"",K75+1))</f>
        <v>66</v>
      </c>
      <c r="L76" s="59" t="str">
        <f t="shared" si="28"/>
        <v>Mid Sussex</v>
      </c>
      <c r="M76" s="153">
        <f t="shared" si="29"/>
        <v>461</v>
      </c>
      <c r="N76" s="148">
        <f t="shared" ref="N76:N139" si="39">IF(L76="","",IF($H$8="%%",M76*100,M76))</f>
        <v>461</v>
      </c>
      <c r="O76" s="131" t="str">
        <f t="shared" si="30"/>
        <v/>
      </c>
      <c r="P76" s="131">
        <f t="shared" si="19"/>
        <v>461</v>
      </c>
      <c r="Q76" s="131" t="str">
        <f t="shared" si="20"/>
        <v/>
      </c>
      <c r="R76" s="127" t="str">
        <f t="shared" si="21"/>
        <v/>
      </c>
      <c r="S76" s="60" t="str">
        <f t="shared" ref="S76:S139" si="40">IF(L76=D$3,"u","")</f>
        <v/>
      </c>
      <c r="T76" s="228">
        <f>IF(L76="","",VLOOKUP(L76,classifications!C:K,9,FALSE))</f>
        <v>0</v>
      </c>
      <c r="U76" s="235" t="str">
        <f t="shared" si="31"/>
        <v/>
      </c>
      <c r="V76" s="236" t="str">
        <f>IF(U76="","",IF($I$8="A",(RANK(U76,U$11:U$355)+COUNTIF(U$11:U76,U76)-1),(RANK(U76,U$11:U$355,1)+COUNTIF(U$11:U76,U76)-1)))</f>
        <v/>
      </c>
      <c r="W76" s="237"/>
      <c r="X76" s="61" t="str">
        <f>IF(L76="","",VLOOKUP($L76,classifications!$C:$J,6,FALSE))</f>
        <v>Urban with City and Town</v>
      </c>
      <c r="Y76" s="49" t="str">
        <f t="shared" si="32"/>
        <v/>
      </c>
      <c r="Z76" s="57" t="str">
        <f>IF(Y76="","",IF(I$8="A",(RANK(Y76,Y$11:Y$355,1)+COUNTIF(Y$11:Y76,Y76)-1),(RANK(Y76,Y$11:Y$355)+COUNTIF(Y$11:Y76,Y76)-1)))</f>
        <v/>
      </c>
      <c r="AA76" s="242" t="str">
        <f>IF(L76="","",VLOOKUP($L76,classifications!C:I,7,FALSE))</f>
        <v>Predominantly Urban</v>
      </c>
      <c r="AB76" s="236" t="str">
        <f t="shared" ref="AB76:AB139" si="41">IF(AA76=$J$3,M76,"")</f>
        <v/>
      </c>
      <c r="AC76" s="236" t="str">
        <f>IF(AB76="","",IF($I$8="A",(RANK(AB76,AB$11:AB$355)+COUNTIF(AB$11:AB76,AB76)-1),(RANK(AB76,AB$11:AB$355,1)+COUNTIF(AB$11:AB76,AB76)-1)))</f>
        <v/>
      </c>
      <c r="AD76" s="236"/>
      <c r="AE76" s="51" t="str">
        <f t="shared" si="24"/>
        <v/>
      </c>
      <c r="AG76" s="143"/>
      <c r="AH76" s="52"/>
      <c r="AI76" s="61" t="str">
        <f>IF(L76="","",VLOOKUP($L76,classifications!$C:$J,8,FALSE))</f>
        <v>West Sussex</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South East</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663.4</v>
      </c>
      <c r="AY76" s="156"/>
      <c r="AZ76" s="44"/>
    </row>
    <row r="77" spans="1:52">
      <c r="A77" s="84" t="str">
        <f>$D$1&amp;67</f>
        <v>SD67</v>
      </c>
      <c r="B77" s="85">
        <f>IF(ISERROR(VLOOKUP(A77,classifications!A:C,3,FALSE)),0,VLOOKUP(A77,classifications!A:C,3,FALSE))</f>
        <v>0</v>
      </c>
      <c r="C77" s="31" t="s">
        <v>44</v>
      </c>
      <c r="D77" s="49" t="str">
        <f>VLOOKUP($C77,classifications!$C:$J,4,FALSE)</f>
        <v>SD</v>
      </c>
      <c r="E77" s="49" t="str">
        <f>VLOOKUP(C77,classifications!C:K,9,FALSE)</f>
        <v>Sparse</v>
      </c>
      <c r="F77" s="59">
        <f t="shared" si="26"/>
        <v>373.4</v>
      </c>
      <c r="G77" s="105"/>
      <c r="H77" s="60">
        <f t="shared" si="27"/>
        <v>373.4</v>
      </c>
      <c r="I77" s="112">
        <f>IF(H77="","",IF($I$8="A",(RANK(H77,H$11:H$355,1)+COUNTIF(H$11:H77,H77)-1),(RANK(H77,H$11:H$355)+COUNTIF(H$11:H77,H77)-1)))</f>
        <v>15</v>
      </c>
      <c r="J77" s="58"/>
      <c r="K77" s="51">
        <f t="shared" si="38"/>
        <v>67</v>
      </c>
      <c r="L77" s="59" t="str">
        <f t="shared" si="28"/>
        <v>East Hertfordshire</v>
      </c>
      <c r="M77" s="153">
        <f t="shared" si="29"/>
        <v>462.5</v>
      </c>
      <c r="N77" s="148">
        <f t="shared" si="39"/>
        <v>462.5</v>
      </c>
      <c r="O77" s="131" t="str">
        <f t="shared" si="30"/>
        <v/>
      </c>
      <c r="P77" s="131">
        <f t="shared" ref="P77:P140" si="45">IF(I$8="A",IF(N77&gt;$O$10,IF(N77&lt;=$P$10,N77,""),""),IF(N77&lt;$O$10,IF(N77&gt;=$P$10,N77,""),""))</f>
        <v>462.5</v>
      </c>
      <c r="Q77" s="131" t="str">
        <f t="shared" ref="Q77:Q140" si="46">IF(I$8="A",IF(N77&gt;$P$10,IF(N77&lt;=$Q$10,N77,""),""),IF(N77&lt;$P$10,IF(N77&gt;=$Q$10,N77,""),""))</f>
        <v/>
      </c>
      <c r="R77" s="127" t="str">
        <f t="shared" ref="R77:R140" si="47">IF(I$8="A",IF(N77&gt;$Q$10,N77,""),IF(N77&lt;$Q$10,N77,""))</f>
        <v/>
      </c>
      <c r="S77" s="60" t="str">
        <f t="shared" si="40"/>
        <v/>
      </c>
      <c r="T77" s="228" t="str">
        <f>IF(L77="","",VLOOKUP(L77,classifications!C:K,9,FALSE))</f>
        <v>Sparse</v>
      </c>
      <c r="U77" s="235">
        <f t="shared" si="31"/>
        <v>462.5</v>
      </c>
      <c r="V77" s="236">
        <f>IF(U77="","",IF($I$8="A",(RANK(U77,U$11:U$355)+COUNTIF(U$11:U77,U77)-1),(RANK(U77,U$11:U$355,1)+COUNTIF(U$11:U77,U77)-1)))</f>
        <v>34</v>
      </c>
      <c r="W77" s="237"/>
      <c r="X77" s="61" t="str">
        <f>IF(L77="","",VLOOKUP($L77,classifications!$C:$J,6,FALSE))</f>
        <v>Urban with Significant Rural (rural including hub towns 26-49%)</v>
      </c>
      <c r="Y77" s="49" t="str">
        <f t="shared" si="32"/>
        <v/>
      </c>
      <c r="Z77" s="57" t="str">
        <f>IF(Y77="","",IF(I$8="A",(RANK(Y77,Y$11:Y$355,1)+COUNTIF(Y$11:Y77,Y77)-1),(RANK(Y77,Y$11:Y$355)+COUNTIF(Y$11:Y77,Y77)-1)))</f>
        <v/>
      </c>
      <c r="AA77" s="242" t="str">
        <f>IF(L77="","",VLOOKUP($L77,classifications!C:I,7,FALSE))</f>
        <v>Significant Rural</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Hertfordshire</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East of England</v>
      </c>
      <c r="AQ77" s="62" t="str">
        <f t="shared" si="43"/>
        <v/>
      </c>
      <c r="AR77" s="57" t="str">
        <f>IF(AQ77="","",IF(I$8="A",(RANK(AQ77,AQ$11:AQ$355,1)+COUNTIF(AQ$11:AQ77,AQ77)-1),(RANK(AQ77,AQ$11:AQ$355)+COUNTIF(AQ$11:AQ77,AQ77)-1)))</f>
        <v/>
      </c>
      <c r="AS77" s="52" t="str">
        <f t="shared" si="44"/>
        <v/>
      </c>
      <c r="AT77" s="57" t="str">
        <f t="shared" si="36"/>
        <v/>
      </c>
      <c r="AU77" s="62" t="str">
        <f t="shared" si="37"/>
        <v/>
      </c>
      <c r="AX77" s="44">
        <f>HLOOKUP($AX$9&amp;$AX$10,Data!$A$1:$ZZ$2000,(MATCH($C77,Data!$A$1:$A$2000,0)),FALSE)</f>
        <v>373.4</v>
      </c>
      <c r="AY77" s="156"/>
      <c r="AZ77" s="44"/>
    </row>
    <row r="78" spans="1:52">
      <c r="A78" s="84" t="str">
        <f>$D$1&amp;68</f>
        <v>SD68</v>
      </c>
      <c r="B78" s="85">
        <f>IF(ISERROR(VLOOKUP(A78,classifications!A:C,3,FALSE)),0,VLOOKUP(A78,classifications!A:C,3,FALSE))</f>
        <v>0</v>
      </c>
      <c r="C78" s="31" t="s">
        <v>228</v>
      </c>
      <c r="D78" s="49" t="str">
        <f>VLOOKUP($C78,classifications!$C:$J,4,FALSE)</f>
        <v>MD</v>
      </c>
      <c r="E78" s="49">
        <f>VLOOKUP(C78,classifications!C:K,9,FALSE)</f>
        <v>0</v>
      </c>
      <c r="F78" s="59">
        <f t="shared" si="26"/>
        <v>585.70000000000005</v>
      </c>
      <c r="G78" s="105"/>
      <c r="H78" s="60" t="str">
        <f t="shared" si="27"/>
        <v/>
      </c>
      <c r="I78" s="112" t="str">
        <f>IF(H78="","",IF($I$8="A",(RANK(H78,H$11:H$355,1)+COUNTIF(H$11:H78,H78)-1),(RANK(H78,H$11:H$355)+COUNTIF(H$11:H78,H78)-1)))</f>
        <v/>
      </c>
      <c r="J78" s="58"/>
      <c r="K78" s="51">
        <f t="shared" si="38"/>
        <v>68</v>
      </c>
      <c r="L78" s="59" t="str">
        <f t="shared" si="28"/>
        <v>Broadland</v>
      </c>
      <c r="M78" s="153">
        <f t="shared" si="29"/>
        <v>464.6</v>
      </c>
      <c r="N78" s="148">
        <f t="shared" si="39"/>
        <v>464.6</v>
      </c>
      <c r="O78" s="131" t="str">
        <f t="shared" si="30"/>
        <v/>
      </c>
      <c r="P78" s="131">
        <f t="shared" si="45"/>
        <v>464.6</v>
      </c>
      <c r="Q78" s="131" t="str">
        <f t="shared" si="46"/>
        <v/>
      </c>
      <c r="R78" s="127" t="str">
        <f t="shared" si="47"/>
        <v/>
      </c>
      <c r="S78" s="60" t="str">
        <f t="shared" si="40"/>
        <v/>
      </c>
      <c r="T78" s="228">
        <f>IF(L78="","",VLOOKUP(L78,classifications!C:K,9,FALSE))</f>
        <v>0</v>
      </c>
      <c r="U78" s="235" t="str">
        <f t="shared" si="31"/>
        <v/>
      </c>
      <c r="V78" s="236" t="str">
        <f>IF(U78="","",IF($I$8="A",(RANK(U78,U$11:U$355)+COUNTIF(U$11:U78,U78)-1),(RANK(U78,U$11:U$355,1)+COUNTIF(U$11:U78,U78)-1)))</f>
        <v/>
      </c>
      <c r="W78" s="237"/>
      <c r="X78" s="61" t="str">
        <f>IF(L78="","",VLOOKUP($L78,classifications!$C:$J,6,FALSE))</f>
        <v>Urban with Significant Rural (rural including hub towns 26-49%)</v>
      </c>
      <c r="Y78" s="49" t="str">
        <f t="shared" si="32"/>
        <v/>
      </c>
      <c r="Z78" s="57" t="str">
        <f>IF(Y78="","",IF(I$8="A",(RANK(Y78,Y$11:Y$355,1)+COUNTIF(Y$11:Y78,Y78)-1),(RANK(Y78,Y$11:Y$355)+COUNTIF(Y$11:Y78,Y78)-1)))</f>
        <v/>
      </c>
      <c r="AA78" s="242" t="str">
        <f>IF(L78="","",VLOOKUP($L78,classifications!C:I,7,FALSE))</f>
        <v>Significant Rural</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Norfolk</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East of England</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585.70000000000005</v>
      </c>
      <c r="AY78" s="156"/>
      <c r="AZ78" s="44"/>
    </row>
    <row r="79" spans="1:52">
      <c r="A79" s="84" t="str">
        <f>$D$1&amp;69</f>
        <v>SD69</v>
      </c>
      <c r="B79" s="85">
        <f>IF(ISERROR(VLOOKUP(A79,classifications!A:C,3,FALSE)),0,VLOOKUP(A79,classifications!A:C,3,FALSE))</f>
        <v>0</v>
      </c>
      <c r="C79" s="31" t="s">
        <v>45</v>
      </c>
      <c r="D79" s="49" t="str">
        <f>VLOOKUP($C79,classifications!$C:$J,4,FALSE)</f>
        <v>SD</v>
      </c>
      <c r="E79" s="49" t="str">
        <f>VLOOKUP(C79,classifications!C:K,9,FALSE)</f>
        <v>Sparse</v>
      </c>
      <c r="F79" s="59">
        <f t="shared" si="26"/>
        <v>490.9</v>
      </c>
      <c r="G79" s="105"/>
      <c r="H79" s="60">
        <f t="shared" si="27"/>
        <v>490.9</v>
      </c>
      <c r="I79" s="112">
        <f>IF(H79="","",IF($I$8="A",(RANK(H79,H$11:H$355,1)+COUNTIF(H$11:H79,H79)-1),(RANK(H79,H$11:H$355)+COUNTIF(H$11:H79,H79)-1)))</f>
        <v>90</v>
      </c>
      <c r="J79" s="58"/>
      <c r="K79" s="51">
        <f t="shared" si="38"/>
        <v>69</v>
      </c>
      <c r="L79" s="59" t="str">
        <f t="shared" si="28"/>
        <v>Canterbury</v>
      </c>
      <c r="M79" s="153">
        <f t="shared" si="29"/>
        <v>465</v>
      </c>
      <c r="N79" s="148">
        <f t="shared" si="39"/>
        <v>465</v>
      </c>
      <c r="O79" s="131" t="str">
        <f t="shared" si="30"/>
        <v/>
      </c>
      <c r="P79" s="131">
        <f t="shared" si="45"/>
        <v>465</v>
      </c>
      <c r="Q79" s="131" t="str">
        <f t="shared" si="46"/>
        <v/>
      </c>
      <c r="R79" s="127" t="str">
        <f t="shared" si="47"/>
        <v/>
      </c>
      <c r="S79" s="60" t="str">
        <f t="shared" si="40"/>
        <v/>
      </c>
      <c r="T79" s="228">
        <f>IF(L79="","",VLOOKUP(L79,classifications!C:K,9,FALSE))</f>
        <v>0</v>
      </c>
      <c r="U79" s="235" t="str">
        <f t="shared" si="31"/>
        <v/>
      </c>
      <c r="V79" s="236" t="str">
        <f>IF(U79="","",IF($I$8="A",(RANK(U79,U$11:U$355)+COUNTIF(U$11:U79,U79)-1),(RANK(U79,U$11:U$355,1)+COUNTIF(U$11:U79,U79)-1)))</f>
        <v/>
      </c>
      <c r="W79" s="237"/>
      <c r="X79" s="61" t="str">
        <f>IF(L79="","",VLOOKUP($L79,classifications!$C:$J,6,FALSE))</f>
        <v>Urban with City and Town</v>
      </c>
      <c r="Y79" s="49" t="str">
        <f t="shared" si="32"/>
        <v/>
      </c>
      <c r="Z79" s="57" t="str">
        <f>IF(Y79="","",IF(I$8="A",(RANK(Y79,Y$11:Y$355,1)+COUNTIF(Y$11:Y79,Y79)-1),(RANK(Y79,Y$11:Y$355)+COUNTIF(Y$11:Y79,Y79)-1)))</f>
        <v/>
      </c>
      <c r="AA79" s="242" t="str">
        <f>IF(L79="","",VLOOKUP($L79,classifications!C:I,7,FALSE))</f>
        <v>Predominantly Urban</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Kent</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South East</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490.9</v>
      </c>
      <c r="AY79" s="156"/>
      <c r="AZ79" s="44"/>
    </row>
    <row r="80" spans="1:52">
      <c r="A80" s="84" t="str">
        <f>$D$1&amp;70</f>
        <v>SD70</v>
      </c>
      <c r="B80" s="85">
        <f>IF(ISERROR(VLOOKUP(A80,classifications!A:C,3,FALSE)),0,VLOOKUP(A80,classifications!A:C,3,FALSE))</f>
        <v>0</v>
      </c>
      <c r="C80" s="31" t="s">
        <v>46</v>
      </c>
      <c r="D80" s="49" t="str">
        <f>VLOOKUP($C80,classifications!$C:$J,4,FALSE)</f>
        <v>SD</v>
      </c>
      <c r="E80" s="49">
        <f>VLOOKUP(C80,classifications!C:K,9,FALSE)</f>
        <v>0</v>
      </c>
      <c r="F80" s="59">
        <f t="shared" si="26"/>
        <v>525.1</v>
      </c>
      <c r="G80" s="105"/>
      <c r="H80" s="60">
        <f t="shared" si="27"/>
        <v>525.1</v>
      </c>
      <c r="I80" s="112">
        <f>IF(H80="","",IF($I$8="A",(RANK(H80,H$11:H$355,1)+COUNTIF(H$11:H80,H80)-1),(RANK(H80,H$11:H$355)+COUNTIF(H$11:H80,H80)-1)))</f>
        <v>123</v>
      </c>
      <c r="J80" s="58"/>
      <c r="K80" s="51">
        <f t="shared" si="38"/>
        <v>70</v>
      </c>
      <c r="L80" s="59" t="str">
        <f t="shared" si="28"/>
        <v>Worthing</v>
      </c>
      <c r="M80" s="153">
        <f t="shared" si="29"/>
        <v>465</v>
      </c>
      <c r="N80" s="148">
        <f t="shared" si="39"/>
        <v>465</v>
      </c>
      <c r="O80" s="131" t="str">
        <f t="shared" si="30"/>
        <v/>
      </c>
      <c r="P80" s="131">
        <f t="shared" si="45"/>
        <v>465</v>
      </c>
      <c r="Q80" s="131" t="str">
        <f t="shared" si="46"/>
        <v/>
      </c>
      <c r="R80" s="127" t="str">
        <f t="shared" si="47"/>
        <v/>
      </c>
      <c r="S80" s="60" t="str">
        <f t="shared" si="40"/>
        <v/>
      </c>
      <c r="T80" s="228">
        <f>IF(L80="","",VLOOKUP(L80,classifications!C:K,9,FALSE))</f>
        <v>0</v>
      </c>
      <c r="U80" s="235" t="str">
        <f t="shared" si="31"/>
        <v/>
      </c>
      <c r="V80" s="236" t="str">
        <f>IF(U80="","",IF($I$8="A",(RANK(U80,U$11:U$355)+COUNTIF(U$11:U80,U80)-1),(RANK(U80,U$11:U$355,1)+COUNTIF(U$11:U80,U80)-1)))</f>
        <v/>
      </c>
      <c r="W80" s="237"/>
      <c r="X80" s="61" t="str">
        <f>IF(L80="","",VLOOKUP($L80,classifications!$C:$J,6,FALSE))</f>
        <v>Urban with City and Town</v>
      </c>
      <c r="Y80" s="49" t="str">
        <f t="shared" si="32"/>
        <v/>
      </c>
      <c r="Z80" s="57" t="str">
        <f>IF(Y80="","",IF(I$8="A",(RANK(Y80,Y$11:Y$355,1)+COUNTIF(Y$11:Y80,Y80)-1),(RANK(Y80,Y$11:Y$355)+COUNTIF(Y$11:Y80,Y80)-1)))</f>
        <v/>
      </c>
      <c r="AA80" s="242" t="str">
        <f>IF(L80="","",VLOOKUP($L80,classifications!C:I,7,FALSE))</f>
        <v>Predominantly Urban</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West Sussex</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South East</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525.1</v>
      </c>
      <c r="AY80" s="156"/>
      <c r="AZ80" s="44"/>
    </row>
    <row r="81" spans="1:52">
      <c r="A81" s="84" t="str">
        <f>$D$1&amp;71</f>
        <v>SD71</v>
      </c>
      <c r="B81" s="85">
        <f>IF(ISERROR(VLOOKUP(A81,classifications!A:C,3,FALSE)),0,VLOOKUP(A81,classifications!A:C,3,FALSE))</f>
        <v>0</v>
      </c>
      <c r="C81" s="31" t="s">
        <v>201</v>
      </c>
      <c r="D81" s="49" t="str">
        <f>VLOOKUP($C81,classifications!$C:$J,4,FALSE)</f>
        <v>L</v>
      </c>
      <c r="E81" s="49">
        <f>VLOOKUP(C81,classifications!C:K,9,FALSE)</f>
        <v>0</v>
      </c>
      <c r="F81" s="59">
        <f t="shared" si="26"/>
        <v>501.1</v>
      </c>
      <c r="G81" s="105"/>
      <c r="H81" s="60" t="str">
        <f t="shared" si="27"/>
        <v/>
      </c>
      <c r="I81" s="112" t="str">
        <f>IF(H81="","",IF($I$8="A",(RANK(H81,H$11:H$355,1)+COUNTIF(H$11:H81,H81)-1),(RANK(H81,H$11:H$355)+COUNTIF(H$11:H81,H81)-1)))</f>
        <v/>
      </c>
      <c r="J81" s="58"/>
      <c r="K81" s="51">
        <f t="shared" si="38"/>
        <v>71</v>
      </c>
      <c r="L81" s="59" t="str">
        <f t="shared" si="28"/>
        <v>Chichester</v>
      </c>
      <c r="M81" s="153">
        <f t="shared" si="29"/>
        <v>466.3</v>
      </c>
      <c r="N81" s="148">
        <f t="shared" si="39"/>
        <v>466.3</v>
      </c>
      <c r="O81" s="131" t="str">
        <f t="shared" si="30"/>
        <v/>
      </c>
      <c r="P81" s="131">
        <f t="shared" si="45"/>
        <v>466.3</v>
      </c>
      <c r="Q81" s="131" t="str">
        <f t="shared" si="46"/>
        <v/>
      </c>
      <c r="R81" s="127" t="str">
        <f t="shared" si="47"/>
        <v/>
      </c>
      <c r="S81" s="60" t="str">
        <f t="shared" si="40"/>
        <v/>
      </c>
      <c r="T81" s="228" t="str">
        <f>IF(L81="","",VLOOKUP(L81,classifications!C:K,9,FALSE))</f>
        <v>Sparse</v>
      </c>
      <c r="U81" s="235">
        <f t="shared" si="31"/>
        <v>466.3</v>
      </c>
      <c r="V81" s="236">
        <f>IF(U81="","",IF($I$8="A",(RANK(U81,U$11:U$355)+COUNTIF(U$11:U81,U81)-1),(RANK(U81,U$11:U$355,1)+COUNTIF(U$11:U81,U81)-1)))</f>
        <v>33</v>
      </c>
      <c r="W81" s="237"/>
      <c r="X81" s="61" t="str">
        <f>IF(L81="","",VLOOKUP($L81,classifications!$C:$J,6,FALSE))</f>
        <v xml:space="preserve">Largely Rural (rural including hub towns 50-79%) </v>
      </c>
      <c r="Y81" s="49" t="str">
        <f t="shared" si="32"/>
        <v/>
      </c>
      <c r="Z81" s="57" t="str">
        <f>IF(Y81="","",IF(I$8="A",(RANK(Y81,Y$11:Y$355,1)+COUNTIF(Y$11:Y81,Y81)-1),(RANK(Y81,Y$11:Y$355)+COUNTIF(Y$11:Y81,Y81)-1)))</f>
        <v/>
      </c>
      <c r="AA81" s="242" t="str">
        <f>IF(L81="","",VLOOKUP($L81,classifications!C:I,7,FALSE))</f>
        <v>Predominantly Rural</v>
      </c>
      <c r="AB81" s="236">
        <f t="shared" si="41"/>
        <v>466.3</v>
      </c>
      <c r="AC81" s="236">
        <f>IF(AB81="","",IF($I$8="A",(RANK(AB81,AB$11:AB$355)+COUNTIF(AB$11:AB81,AB81)-1),(RANK(AB81,AB$11:AB$355,1)+COUNTIF(AB$11:AB81,AB81)-1)))</f>
        <v>38</v>
      </c>
      <c r="AD81" s="236"/>
      <c r="AE81" s="51" t="str">
        <f t="shared" si="24"/>
        <v/>
      </c>
      <c r="AG81" s="143"/>
      <c r="AH81" s="52"/>
      <c r="AI81" s="61" t="str">
        <f>IF(L81="","",VLOOKUP($L81,classifications!$C:$J,8,FALSE))</f>
        <v>West Sussex</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South East</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501.1</v>
      </c>
      <c r="AY81" s="156"/>
      <c r="AZ81" s="44"/>
    </row>
    <row r="82" spans="1:52">
      <c r="A82" s="84" t="str">
        <f>$D$1&amp;72</f>
        <v>SD72</v>
      </c>
      <c r="B82" s="85">
        <f>IF(ISERROR(VLOOKUP(A82,classifications!A:C,3,FALSE)),0,VLOOKUP(A82,classifications!A:C,3,FALSE))</f>
        <v>0</v>
      </c>
      <c r="C82" s="31" t="s">
        <v>306</v>
      </c>
      <c r="D82" s="49" t="str">
        <f>VLOOKUP($C82,classifications!$C:$J,4,FALSE)</f>
        <v>SC</v>
      </c>
      <c r="E82" s="49" t="str">
        <f>VLOOKUP(C82,classifications!C:K,9,FALSE)</f>
        <v>Sparse</v>
      </c>
      <c r="F82" s="59">
        <f t="shared" si="26"/>
        <v>509.7</v>
      </c>
      <c r="G82" s="105"/>
      <c r="H82" s="60" t="str">
        <f t="shared" si="27"/>
        <v/>
      </c>
      <c r="I82" s="112" t="str">
        <f>IF(H82="","",IF($I$8="A",(RANK(H82,H$11:H$355,1)+COUNTIF(H$11:H82,H82)-1),(RANK(H82,H$11:H$355)+COUNTIF(H$11:H82,H82)-1)))</f>
        <v/>
      </c>
      <c r="J82" s="58"/>
      <c r="K82" s="51">
        <f t="shared" si="38"/>
        <v>72</v>
      </c>
      <c r="L82" s="59" t="str">
        <f t="shared" si="28"/>
        <v>Oadby &amp; Wigston</v>
      </c>
      <c r="M82" s="153">
        <f t="shared" si="29"/>
        <v>466.3</v>
      </c>
      <c r="N82" s="148">
        <f t="shared" si="39"/>
        <v>466.3</v>
      </c>
      <c r="O82" s="131" t="str">
        <f t="shared" si="30"/>
        <v/>
      </c>
      <c r="P82" s="131">
        <f t="shared" si="45"/>
        <v>466.3</v>
      </c>
      <c r="Q82" s="131" t="str">
        <f t="shared" si="46"/>
        <v/>
      </c>
      <c r="R82" s="127" t="str">
        <f t="shared" si="47"/>
        <v/>
      </c>
      <c r="S82" s="60" t="str">
        <f t="shared" si="40"/>
        <v/>
      </c>
      <c r="T82" s="228">
        <f>IF(L82="","",VLOOKUP(L82,classifications!C:K,9,FALSE))</f>
        <v>0</v>
      </c>
      <c r="U82" s="235" t="str">
        <f t="shared" si="31"/>
        <v/>
      </c>
      <c r="V82" s="236" t="str">
        <f>IF(U82="","",IF($I$8="A",(RANK(U82,U$11:U$355)+COUNTIF(U$11:U82,U82)-1),(RANK(U82,U$11:U$355,1)+COUNTIF(U$11:U82,U82)-1)))</f>
        <v/>
      </c>
      <c r="W82" s="237"/>
      <c r="X82" s="61" t="str">
        <f>IF(L82="","",VLOOKUP($L82,classifications!$C:$J,6,FALSE))</f>
        <v>Urban with City and Town</v>
      </c>
      <c r="Y82" s="49" t="str">
        <f t="shared" si="32"/>
        <v/>
      </c>
      <c r="Z82" s="57" t="str">
        <f>IF(Y82="","",IF(I$8="A",(RANK(Y82,Y$11:Y$355,1)+COUNTIF(Y$11:Y82,Y82)-1),(RANK(Y82,Y$11:Y$355)+COUNTIF(Y$11:Y82,Y82)-1)))</f>
        <v/>
      </c>
      <c r="AA82" s="242" t="str">
        <f>IF(L82="","",VLOOKUP($L82,classifications!C:I,7,FALSE))</f>
        <v>Predominantly Urban</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Leicestershire</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East Midlands</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509.7</v>
      </c>
      <c r="AY82" s="156"/>
      <c r="AZ82" s="44"/>
    </row>
    <row r="83" spans="1:52">
      <c r="A83" s="84" t="str">
        <f>$D$1&amp;73</f>
        <v>SD73</v>
      </c>
      <c r="B83" s="85">
        <f>IF(ISERROR(VLOOKUP(A83,classifications!A:C,3,FALSE)),0,VLOOKUP(A83,classifications!A:C,3,FALSE))</f>
        <v>0</v>
      </c>
      <c r="C83" s="31" t="s">
        <v>47</v>
      </c>
      <c r="D83" s="49" t="str">
        <f>VLOOKUP($C83,classifications!$C:$J,4,FALSE)</f>
        <v>SD</v>
      </c>
      <c r="E83" s="49">
        <f>VLOOKUP(C83,classifications!C:K,9,FALSE)</f>
        <v>0</v>
      </c>
      <c r="F83" s="59">
        <f t="shared" si="26"/>
        <v>420.5</v>
      </c>
      <c r="G83" s="105"/>
      <c r="H83" s="60">
        <f t="shared" si="27"/>
        <v>420.5</v>
      </c>
      <c r="I83" s="112">
        <f>IF(H83="","",IF($I$8="A",(RANK(H83,H$11:H$355,1)+COUNTIF(H$11:H83,H83)-1),(RANK(H83,H$11:H$355)+COUNTIF(H$11:H83,H83)-1)))</f>
        <v>32</v>
      </c>
      <c r="J83" s="58"/>
      <c r="K83" s="51">
        <f t="shared" si="38"/>
        <v>73</v>
      </c>
      <c r="L83" s="59" t="str">
        <f t="shared" si="28"/>
        <v>Elmbridge</v>
      </c>
      <c r="M83" s="153">
        <f t="shared" si="29"/>
        <v>469.1</v>
      </c>
      <c r="N83" s="148">
        <f t="shared" si="39"/>
        <v>469.1</v>
      </c>
      <c r="O83" s="131" t="str">
        <f t="shared" si="30"/>
        <v/>
      </c>
      <c r="P83" s="131">
        <f t="shared" si="45"/>
        <v>469.1</v>
      </c>
      <c r="Q83" s="131" t="str">
        <f t="shared" si="46"/>
        <v/>
      </c>
      <c r="R83" s="127" t="str">
        <f t="shared" si="47"/>
        <v/>
      </c>
      <c r="S83" s="60" t="str">
        <f t="shared" si="40"/>
        <v/>
      </c>
      <c r="T83" s="228">
        <f>IF(L83="","",VLOOKUP(L83,classifications!C:K,9,FALSE))</f>
        <v>0</v>
      </c>
      <c r="U83" s="235" t="str">
        <f t="shared" si="31"/>
        <v/>
      </c>
      <c r="V83" s="236" t="str">
        <f>IF(U83="","",IF($I$8="A",(RANK(U83,U$11:U$355)+COUNTIF(U$11:U83,U83)-1),(RANK(U83,U$11:U$355,1)+COUNTIF(U$11:U83,U83)-1)))</f>
        <v/>
      </c>
      <c r="W83" s="237"/>
      <c r="X83" s="61" t="str">
        <f>IF(L83="","",VLOOKUP($L83,classifications!$C:$J,6,FALSE))</f>
        <v>Urban with Major Conurbation</v>
      </c>
      <c r="Y83" s="49" t="str">
        <f t="shared" si="32"/>
        <v/>
      </c>
      <c r="Z83" s="57" t="str">
        <f>IF(Y83="","",IF(I$8="A",(RANK(Y83,Y$11:Y$355,1)+COUNTIF(Y$11:Y83,Y83)-1),(RANK(Y83,Y$11:Y$355)+COUNTIF(Y$11:Y83,Y83)-1)))</f>
        <v/>
      </c>
      <c r="AA83" s="242" t="str">
        <f>IF(L83="","",VLOOKUP($L83,classifications!C:I,7,FALSE))</f>
        <v>Predominantly Urban</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Surrey</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South East</v>
      </c>
      <c r="AQ83" s="62" t="str">
        <f t="shared" si="43"/>
        <v/>
      </c>
      <c r="AR83" s="57" t="str">
        <f>IF(AQ83="","",IF(I$8="A",(RANK(AQ83,AQ$11:AQ$355,1)+COUNTIF(AQ$11:AQ83,AQ83)-1),(RANK(AQ83,AQ$11:AQ$355)+COUNTIF(AQ$11:AQ83,AQ83)-1)))</f>
        <v/>
      </c>
      <c r="AS83" s="52" t="str">
        <f t="shared" si="44"/>
        <v/>
      </c>
      <c r="AT83" s="57" t="str">
        <f t="shared" si="36"/>
        <v/>
      </c>
      <c r="AU83" s="62" t="str">
        <f t="shared" si="37"/>
        <v/>
      </c>
      <c r="AX83" s="44">
        <f>HLOOKUP($AX$9&amp;$AX$10,Data!$A$1:$ZZ$2000,(MATCH($C83,Data!$A$1:$A$2000,0)),FALSE)</f>
        <v>420.5</v>
      </c>
      <c r="AY83" s="156"/>
      <c r="AZ83" s="44"/>
    </row>
    <row r="84" spans="1:52">
      <c r="A84" s="84" t="str">
        <f>$D$1&amp;74</f>
        <v>SD74</v>
      </c>
      <c r="B84" s="85">
        <f>IF(ISERROR(VLOOKUP(A84,classifications!A:C,3,FALSE)),0,VLOOKUP(A84,classifications!A:C,3,FALSE))</f>
        <v>0</v>
      </c>
      <c r="C84" s="31" t="s">
        <v>264</v>
      </c>
      <c r="D84" s="49" t="str">
        <f>VLOOKUP($C84,classifications!$C:$J,4,FALSE)</f>
        <v>UA</v>
      </c>
      <c r="E84" s="49">
        <f>VLOOKUP(C84,classifications!C:K,9,FALSE)</f>
        <v>0</v>
      </c>
      <c r="F84" s="59">
        <f t="shared" si="26"/>
        <v>601.6</v>
      </c>
      <c r="G84" s="105"/>
      <c r="H84" s="60" t="str">
        <f t="shared" si="27"/>
        <v/>
      </c>
      <c r="I84" s="112" t="str">
        <f>IF(H84="","",IF($I$8="A",(RANK(H84,H$11:H$355,1)+COUNTIF(H$11:H84,H84)-1),(RANK(H84,H$11:H$355)+COUNTIF(H$11:H84,H84)-1)))</f>
        <v/>
      </c>
      <c r="J84" s="58"/>
      <c r="K84" s="51">
        <f t="shared" si="38"/>
        <v>74</v>
      </c>
      <c r="L84" s="59" t="str">
        <f t="shared" si="28"/>
        <v>Uttlesford</v>
      </c>
      <c r="M84" s="153">
        <f t="shared" si="29"/>
        <v>472.7</v>
      </c>
      <c r="N84" s="148">
        <f t="shared" si="39"/>
        <v>472.7</v>
      </c>
      <c r="O84" s="131" t="str">
        <f t="shared" si="30"/>
        <v/>
      </c>
      <c r="P84" s="131">
        <f t="shared" si="45"/>
        <v>472.7</v>
      </c>
      <c r="Q84" s="131" t="str">
        <f t="shared" si="46"/>
        <v/>
      </c>
      <c r="R84" s="127" t="str">
        <f t="shared" si="47"/>
        <v/>
      </c>
      <c r="S84" s="60" t="str">
        <f t="shared" si="40"/>
        <v/>
      </c>
      <c r="T84" s="228" t="str">
        <f>IF(L84="","",VLOOKUP(L84,classifications!C:K,9,FALSE))</f>
        <v>Sparse</v>
      </c>
      <c r="U84" s="235">
        <f t="shared" si="31"/>
        <v>472.7</v>
      </c>
      <c r="V84" s="236">
        <f>IF(U84="","",IF($I$8="A",(RANK(U84,U$11:U$355)+COUNTIF(U$11:U84,U84)-1),(RANK(U84,U$11:U$355,1)+COUNTIF(U$11:U84,U84)-1)))</f>
        <v>32</v>
      </c>
      <c r="W84" s="237"/>
      <c r="X84" s="61" t="str">
        <f>IF(L84="","",VLOOKUP($L84,classifications!$C:$J,6,FALSE))</f>
        <v xml:space="preserve">Mainly Rural (rural including hub towns &gt;=80%) </v>
      </c>
      <c r="Y84" s="49">
        <f t="shared" si="32"/>
        <v>472.7</v>
      </c>
      <c r="Z84" s="57">
        <f>IF(Y84="","",IF(I$8="A",(RANK(Y84,Y$11:Y$355,1)+COUNTIF(Y$11:Y84,Y84)-1),(RANK(Y84,Y$11:Y$355)+COUNTIF(Y$11:Y84,Y84)-1)))</f>
        <v>20</v>
      </c>
      <c r="AA84" s="242" t="str">
        <f>IF(L84="","",VLOOKUP($L84,classifications!C:I,7,FALSE))</f>
        <v>Predominantly Rural</v>
      </c>
      <c r="AB84" s="236">
        <f t="shared" si="41"/>
        <v>472.7</v>
      </c>
      <c r="AC84" s="236">
        <f>IF(AB84="","",IF($I$8="A",(RANK(AB84,AB$11:AB$355)+COUNTIF(AB$11:AB84,AB84)-1),(RANK(AB84,AB$11:AB$355,1)+COUNTIF(AB$11:AB84,AB84)-1)))</f>
        <v>37</v>
      </c>
      <c r="AD84" s="236"/>
      <c r="AE84" s="51" t="str">
        <f t="shared" si="24"/>
        <v/>
      </c>
      <c r="AG84" s="143"/>
      <c r="AH84" s="52"/>
      <c r="AI84" s="61" t="str">
        <f>IF(L84="","",VLOOKUP($L84,classifications!$C:$J,8,FALSE))</f>
        <v>Essex</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East of England</v>
      </c>
      <c r="AQ84" s="62" t="str">
        <f t="shared" si="43"/>
        <v/>
      </c>
      <c r="AR84" s="57" t="str">
        <f>IF(AQ84="","",IF(I$8="A",(RANK(AQ84,AQ$11:AQ$355,1)+COUNTIF(AQ$11:AQ84,AQ84)-1),(RANK(AQ84,AQ$11:AQ$355)+COUNTIF(AQ$11:AQ84,AQ84)-1)))</f>
        <v/>
      </c>
      <c r="AS84" s="52" t="str">
        <f t="shared" si="44"/>
        <v/>
      </c>
      <c r="AT84" s="57" t="str">
        <f t="shared" si="36"/>
        <v/>
      </c>
      <c r="AU84" s="62" t="str">
        <f t="shared" si="37"/>
        <v/>
      </c>
      <c r="AX84" s="44">
        <f>HLOOKUP($AX$9&amp;$AX$10,Data!$A$1:$ZZ$2000,(MATCH($C84,Data!$A$1:$A$2000,0)),FALSE)</f>
        <v>601.6</v>
      </c>
      <c r="AY84" s="156"/>
      <c r="AZ84" s="44"/>
    </row>
    <row r="85" spans="1:52">
      <c r="A85" s="84" t="str">
        <f>$D$1&amp;75</f>
        <v>SD75</v>
      </c>
      <c r="B85" s="85">
        <f>IF(ISERROR(VLOOKUP(A85,classifications!A:C,3,FALSE)),0,VLOOKUP(A85,classifications!A:C,3,FALSE))</f>
        <v>0</v>
      </c>
      <c r="C85" s="31" t="s">
        <v>48</v>
      </c>
      <c r="D85" s="49" t="str">
        <f>VLOOKUP($C85,classifications!$C:$J,4,FALSE)</f>
        <v>SD</v>
      </c>
      <c r="E85" s="49">
        <f>VLOOKUP(C85,classifications!C:K,9,FALSE)</f>
        <v>0</v>
      </c>
      <c r="F85" s="59">
        <f t="shared" si="26"/>
        <v>670.5</v>
      </c>
      <c r="G85" s="105"/>
      <c r="H85" s="60">
        <f t="shared" si="27"/>
        <v>670.5</v>
      </c>
      <c r="I85" s="112">
        <f>IF(H85="","",IF($I$8="A",(RANK(H85,H$11:H$355,1)+COUNTIF(H$11:H85,H85)-1),(RANK(H85,H$11:H$355)+COUNTIF(H$11:H85,H85)-1)))</f>
        <v>178</v>
      </c>
      <c r="J85" s="58"/>
      <c r="K85" s="51">
        <f t="shared" si="38"/>
        <v>75</v>
      </c>
      <c r="L85" s="59" t="str">
        <f t="shared" si="28"/>
        <v>Gravesham</v>
      </c>
      <c r="M85" s="153">
        <f t="shared" si="29"/>
        <v>474.8</v>
      </c>
      <c r="N85" s="148">
        <f t="shared" si="39"/>
        <v>474.8</v>
      </c>
      <c r="O85" s="131" t="str">
        <f t="shared" si="30"/>
        <v/>
      </c>
      <c r="P85" s="131">
        <f t="shared" si="45"/>
        <v>474.8</v>
      </c>
      <c r="Q85" s="131" t="str">
        <f t="shared" si="46"/>
        <v/>
      </c>
      <c r="R85" s="127" t="str">
        <f t="shared" si="47"/>
        <v/>
      </c>
      <c r="S85" s="60" t="str">
        <f t="shared" si="40"/>
        <v/>
      </c>
      <c r="T85" s="228">
        <f>IF(L85="","",VLOOKUP(L85,classifications!C:K,9,FALSE))</f>
        <v>0</v>
      </c>
      <c r="U85" s="235" t="str">
        <f t="shared" si="31"/>
        <v/>
      </c>
      <c r="V85" s="236" t="str">
        <f>IF(U85="","",IF($I$8="A",(RANK(U85,U$11:U$355)+COUNTIF(U$11:U85,U85)-1),(RANK(U85,U$11:U$355,1)+COUNTIF(U$11:U85,U85)-1)))</f>
        <v/>
      </c>
      <c r="W85" s="237"/>
      <c r="X85" s="61" t="str">
        <f>IF(L85="","",VLOOKUP($L85,classifications!$C:$J,6,FALSE))</f>
        <v>Urban with Major Conurbation</v>
      </c>
      <c r="Y85" s="49" t="str">
        <f t="shared" si="32"/>
        <v/>
      </c>
      <c r="Z85" s="57" t="str">
        <f>IF(Y85="","",IF(I$8="A",(RANK(Y85,Y$11:Y$355,1)+COUNTIF(Y$11:Y85,Y85)-1),(RANK(Y85,Y$11:Y$355)+COUNTIF(Y$11:Y85,Y85)-1)))</f>
        <v/>
      </c>
      <c r="AA85" s="242" t="str">
        <f>IF(L85="","",VLOOKUP($L85,classifications!C:I,7,FALSE))</f>
        <v>Predominantly Urban</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Kent</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South East</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670.5</v>
      </c>
      <c r="AY85" s="156"/>
      <c r="AZ85" s="44"/>
    </row>
    <row r="86" spans="1:52">
      <c r="A86" s="84" t="str">
        <f>$D$1&amp;76</f>
        <v>SD76</v>
      </c>
      <c r="B86" s="85">
        <f>IF(ISERROR(VLOOKUP(A86,classifications!A:C,3,FALSE)),0,VLOOKUP(A86,classifications!A:C,3,FALSE))</f>
        <v>0</v>
      </c>
      <c r="C86" s="31" t="s">
        <v>49</v>
      </c>
      <c r="D86" s="49" t="str">
        <f>VLOOKUP($C86,classifications!$C:$J,4,FALSE)</f>
        <v>SD</v>
      </c>
      <c r="E86" s="49" t="str">
        <f>VLOOKUP(C86,classifications!C:K,9,FALSE)</f>
        <v>Sparse</v>
      </c>
      <c r="F86" s="59">
        <f t="shared" si="26"/>
        <v>459.1</v>
      </c>
      <c r="G86" s="105"/>
      <c r="H86" s="60">
        <f t="shared" si="27"/>
        <v>459.1</v>
      </c>
      <c r="I86" s="112">
        <f>IF(H86="","",IF($I$8="A",(RANK(H86,H$11:H$355,1)+COUNTIF(H$11:H86,H86)-1),(RANK(H86,H$11:H$355)+COUNTIF(H$11:H86,H86)-1)))</f>
        <v>63</v>
      </c>
      <c r="J86" s="58"/>
      <c r="K86" s="51">
        <f t="shared" si="38"/>
        <v>76</v>
      </c>
      <c r="L86" s="59" t="str">
        <f t="shared" si="28"/>
        <v>Gloucester</v>
      </c>
      <c r="M86" s="153">
        <f t="shared" si="29"/>
        <v>475.2</v>
      </c>
      <c r="N86" s="148">
        <f t="shared" si="39"/>
        <v>475.2</v>
      </c>
      <c r="O86" s="131" t="str">
        <f t="shared" si="30"/>
        <v/>
      </c>
      <c r="P86" s="131">
        <f t="shared" si="45"/>
        <v>475.2</v>
      </c>
      <c r="Q86" s="131" t="str">
        <f t="shared" si="46"/>
        <v/>
      </c>
      <c r="R86" s="127" t="str">
        <f t="shared" si="47"/>
        <v/>
      </c>
      <c r="S86" s="60" t="str">
        <f t="shared" si="40"/>
        <v/>
      </c>
      <c r="T86" s="228">
        <f>IF(L86="","",VLOOKUP(L86,classifications!C:K,9,FALSE))</f>
        <v>0</v>
      </c>
      <c r="U86" s="235" t="str">
        <f t="shared" si="31"/>
        <v/>
      </c>
      <c r="V86" s="236" t="str">
        <f>IF(U86="","",IF($I$8="A",(RANK(U86,U$11:U$355)+COUNTIF(U$11:U86,U86)-1),(RANK(U86,U$11:U$355,1)+COUNTIF(U$11:U86,U86)-1)))</f>
        <v/>
      </c>
      <c r="W86" s="237"/>
      <c r="X86" s="61" t="str">
        <f>IF(L86="","",VLOOKUP($L86,classifications!$C:$J,6,FALSE))</f>
        <v>Urban with City and Town</v>
      </c>
      <c r="Y86" s="49" t="str">
        <f t="shared" si="32"/>
        <v/>
      </c>
      <c r="Z86" s="57" t="str">
        <f>IF(Y86="","",IF(I$8="A",(RANK(Y86,Y$11:Y$355,1)+COUNTIF(Y$11:Y86,Y86)-1),(RANK(Y86,Y$11:Y$355)+COUNTIF(Y$11:Y86,Y86)-1)))</f>
        <v/>
      </c>
      <c r="AA86" s="242" t="str">
        <f>IF(L86="","",VLOOKUP($L86,classifications!C:I,7,FALSE))</f>
        <v>Predominantly Urban</v>
      </c>
      <c r="AB86" s="236" t="str">
        <f t="shared" si="41"/>
        <v/>
      </c>
      <c r="AC86" s="236" t="str">
        <f>IF(AB86="","",IF($I$8="A",(RANK(AB86,AB$11:AB$355)+COUNTIF(AB$11:AB86,AB86)-1),(RANK(AB86,AB$11:AB$355,1)+COUNTIF(AB$11:AB86,AB86)-1)))</f>
        <v/>
      </c>
      <c r="AD86" s="236"/>
      <c r="AE86" s="51" t="str">
        <f t="shared" si="24"/>
        <v/>
      </c>
      <c r="AG86" s="143"/>
      <c r="AH86" s="52"/>
      <c r="AI86" s="61" t="str">
        <f>IF(L86="","",VLOOKUP($L86,classifications!$C:$J,8,FALSE))</f>
        <v>Gloucestershire</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South West</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459.1</v>
      </c>
      <c r="AY86" s="156"/>
      <c r="AZ86" s="44"/>
    </row>
    <row r="87" spans="1:52">
      <c r="A87" s="84" t="str">
        <f>$D$1&amp;77</f>
        <v>SD77</v>
      </c>
      <c r="B87" s="85">
        <f>IF(ISERROR(VLOOKUP(A87,classifications!A:C,3,FALSE)),0,VLOOKUP(A87,classifications!A:C,3,FALSE))</f>
        <v>0</v>
      </c>
      <c r="C87" s="31" t="s">
        <v>265</v>
      </c>
      <c r="D87" s="49" t="str">
        <f>VLOOKUP($C87,classifications!$C:$J,4,FALSE)</f>
        <v>UA</v>
      </c>
      <c r="E87" s="49">
        <f>VLOOKUP(C87,classifications!C:K,9,FALSE)</f>
        <v>0</v>
      </c>
      <c r="F87" s="59">
        <f t="shared" si="26"/>
        <v>599.1</v>
      </c>
      <c r="G87" s="105"/>
      <c r="H87" s="60" t="str">
        <f t="shared" si="27"/>
        <v/>
      </c>
      <c r="I87" s="112" t="str">
        <f>IF(H87="","",IF($I$8="A",(RANK(H87,H$11:H$355,1)+COUNTIF(H$11:H87,H87)-1),(RANK(H87,H$11:H$355)+COUNTIF(H$11:H87,H87)-1)))</f>
        <v/>
      </c>
      <c r="J87" s="58"/>
      <c r="K87" s="51">
        <f t="shared" si="38"/>
        <v>77</v>
      </c>
      <c r="L87" s="59" t="str">
        <f t="shared" si="28"/>
        <v>Winchester</v>
      </c>
      <c r="M87" s="153">
        <f t="shared" si="29"/>
        <v>475.2</v>
      </c>
      <c r="N87" s="148">
        <f t="shared" si="39"/>
        <v>475.2</v>
      </c>
      <c r="O87" s="131" t="str">
        <f t="shared" si="30"/>
        <v/>
      </c>
      <c r="P87" s="131">
        <f t="shared" si="45"/>
        <v>475.2</v>
      </c>
      <c r="Q87" s="131" t="str">
        <f t="shared" si="46"/>
        <v/>
      </c>
      <c r="R87" s="127" t="str">
        <f t="shared" si="47"/>
        <v/>
      </c>
      <c r="S87" s="60" t="str">
        <f t="shared" si="40"/>
        <v/>
      </c>
      <c r="T87" s="228">
        <f>IF(L87="","",VLOOKUP(L87,classifications!C:K,9,FALSE))</f>
        <v>0</v>
      </c>
      <c r="U87" s="235" t="str">
        <f t="shared" si="31"/>
        <v/>
      </c>
      <c r="V87" s="236" t="str">
        <f>IF(U87="","",IF($I$8="A",(RANK(U87,U$11:U$355)+COUNTIF(U$11:U87,U87)-1),(RANK(U87,U$11:U$355,1)+COUNTIF(U$11:U87,U87)-1)))</f>
        <v/>
      </c>
      <c r="W87" s="237"/>
      <c r="X87" s="61" t="str">
        <f>IF(L87="","",VLOOKUP($L87,classifications!$C:$J,6,FALSE))</f>
        <v xml:space="preserve">Largely Rural (rural including hub towns 50-79%) </v>
      </c>
      <c r="Y87" s="49" t="str">
        <f t="shared" si="32"/>
        <v/>
      </c>
      <c r="Z87" s="57" t="str">
        <f>IF(Y87="","",IF(I$8="A",(RANK(Y87,Y$11:Y$355,1)+COUNTIF(Y$11:Y87,Y87)-1),(RANK(Y87,Y$11:Y$355)+COUNTIF(Y$11:Y87,Y87)-1)))</f>
        <v/>
      </c>
      <c r="AA87" s="242" t="str">
        <f>IF(L87="","",VLOOKUP($L87,classifications!C:I,7,FALSE))</f>
        <v>Predominantly Rural</v>
      </c>
      <c r="AB87" s="236">
        <f t="shared" si="41"/>
        <v>475.2</v>
      </c>
      <c r="AC87" s="236">
        <f>IF(AB87="","",IF($I$8="A",(RANK(AB87,AB$11:AB$355)+COUNTIF(AB$11:AB87,AB87)-1),(RANK(AB87,AB$11:AB$355,1)+COUNTIF(AB$11:AB87,AB87)-1)))</f>
        <v>36</v>
      </c>
      <c r="AD87" s="236"/>
      <c r="AE87" s="51" t="str">
        <f t="shared" si="24"/>
        <v/>
      </c>
      <c r="AG87" s="143"/>
      <c r="AH87" s="52"/>
      <c r="AI87" s="61" t="str">
        <f>IF(L87="","",VLOOKUP($L87,classifications!$C:$J,8,FALSE))</f>
        <v>Hampshire</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South East</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599.1</v>
      </c>
      <c r="AY87" s="156"/>
      <c r="AZ87" s="44"/>
    </row>
    <row r="88" spans="1:52">
      <c r="A88" s="84" t="str">
        <f>$D$1&amp;78</f>
        <v>SD78</v>
      </c>
      <c r="B88" s="85">
        <f>IF(ISERROR(VLOOKUP(A88,classifications!A:C,3,FALSE)),0,VLOOKUP(A88,classifications!A:C,3,FALSE))</f>
        <v>0</v>
      </c>
      <c r="C88" s="31" t="s">
        <v>307</v>
      </c>
      <c r="D88" s="49" t="str">
        <f>VLOOKUP($C88,classifications!$C:$J,4,FALSE)</f>
        <v>SC</v>
      </c>
      <c r="E88" s="49">
        <f>VLOOKUP(C88,classifications!C:K,9,FALSE)</f>
        <v>0</v>
      </c>
      <c r="F88" s="59">
        <f t="shared" si="26"/>
        <v>576.5</v>
      </c>
      <c r="G88" s="105"/>
      <c r="H88" s="60" t="str">
        <f t="shared" si="27"/>
        <v/>
      </c>
      <c r="I88" s="112" t="str">
        <f>IF(H88="","",IF($I$8="A",(RANK(H88,H$11:H$355,1)+COUNTIF(H$11:H88,H88)-1),(RANK(H88,H$11:H$355)+COUNTIF(H$11:H88,H88)-1)))</f>
        <v/>
      </c>
      <c r="J88" s="58"/>
      <c r="K88" s="51">
        <f t="shared" si="38"/>
        <v>78</v>
      </c>
      <c r="L88" s="59" t="str">
        <f t="shared" si="28"/>
        <v>Stafford</v>
      </c>
      <c r="M88" s="153">
        <f t="shared" si="29"/>
        <v>475.6</v>
      </c>
      <c r="N88" s="148">
        <f t="shared" si="39"/>
        <v>475.6</v>
      </c>
      <c r="O88" s="131" t="str">
        <f t="shared" si="30"/>
        <v/>
      </c>
      <c r="P88" s="131">
        <f t="shared" si="45"/>
        <v>475.6</v>
      </c>
      <c r="Q88" s="131" t="str">
        <f t="shared" si="46"/>
        <v/>
      </c>
      <c r="R88" s="127" t="str">
        <f t="shared" si="47"/>
        <v/>
      </c>
      <c r="S88" s="60" t="str">
        <f t="shared" si="40"/>
        <v/>
      </c>
      <c r="T88" s="228" t="str">
        <f>IF(L88="","",VLOOKUP(L88,classifications!C:K,9,FALSE))</f>
        <v>Sparse</v>
      </c>
      <c r="U88" s="235">
        <f t="shared" si="31"/>
        <v>475.6</v>
      </c>
      <c r="V88" s="236">
        <f>IF(U88="","",IF($I$8="A",(RANK(U88,U$11:U$355)+COUNTIF(U$11:U88,U88)-1),(RANK(U88,U$11:U$355,1)+COUNTIF(U$11:U88,U88)-1)))</f>
        <v>31</v>
      </c>
      <c r="W88" s="237"/>
      <c r="X88" s="61" t="str">
        <f>IF(L88="","",VLOOKUP($L88,classifications!$C:$J,6,FALSE))</f>
        <v>Urban with Significant Rural (rural including hub towns 26-49%)</v>
      </c>
      <c r="Y88" s="49" t="str">
        <f t="shared" si="32"/>
        <v/>
      </c>
      <c r="Z88" s="57" t="str">
        <f>IF(Y88="","",IF(I$8="A",(RANK(Y88,Y$11:Y$355,1)+COUNTIF(Y$11:Y88,Y88)-1),(RANK(Y88,Y$11:Y$355)+COUNTIF(Y$11:Y88,Y88)-1)))</f>
        <v/>
      </c>
      <c r="AA88" s="242" t="str">
        <f>IF(L88="","",VLOOKUP($L88,classifications!C:I,7,FALSE))</f>
        <v>Significant Rural</v>
      </c>
      <c r="AB88" s="236" t="str">
        <f t="shared" si="41"/>
        <v/>
      </c>
      <c r="AC88" s="236" t="str">
        <f>IF(AB88="","",IF($I$8="A",(RANK(AB88,AB$11:AB$355)+COUNTIF(AB$11:AB88,AB88)-1),(RANK(AB88,AB$11:AB$355,1)+COUNTIF(AB$11:AB88,AB88)-1)))</f>
        <v/>
      </c>
      <c r="AD88" s="236"/>
      <c r="AE88" s="51" t="str">
        <f t="shared" si="24"/>
        <v/>
      </c>
      <c r="AG88" s="143"/>
      <c r="AH88" s="52"/>
      <c r="AI88" s="61" t="str">
        <f>IF(L88="","",VLOOKUP($L88,classifications!$C:$J,8,FALSE))</f>
        <v>Staffordshire</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West Midlands</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576.5</v>
      </c>
      <c r="AY88" s="156"/>
      <c r="AZ88" s="44"/>
    </row>
    <row r="89" spans="1:52">
      <c r="A89" s="84" t="str">
        <f>$D$1&amp;79</f>
        <v>SD79</v>
      </c>
      <c r="B89" s="85">
        <f>IF(ISERROR(VLOOKUP(A89,classifications!A:C,3,FALSE)),0,VLOOKUP(A89,classifications!A:C,3,FALSE))</f>
        <v>0</v>
      </c>
      <c r="C89" s="31" t="s">
        <v>50</v>
      </c>
      <c r="D89" s="49" t="str">
        <f>VLOOKUP($C89,classifications!$C:$J,4,FALSE)</f>
        <v>SD</v>
      </c>
      <c r="E89" s="49" t="str">
        <f>VLOOKUP(C89,classifications!C:K,9,FALSE)</f>
        <v>Sparse</v>
      </c>
      <c r="F89" s="59">
        <f t="shared" si="26"/>
        <v>355.9</v>
      </c>
      <c r="G89" s="105"/>
      <c r="H89" s="60">
        <f t="shared" si="27"/>
        <v>355.9</v>
      </c>
      <c r="I89" s="112">
        <f>IF(H89="","",IF($I$8="A",(RANK(H89,H$11:H$355,1)+COUNTIF(H$11:H89,H89)-1),(RANK(H89,H$11:H$355)+COUNTIF(H$11:H89,H89)-1)))</f>
        <v>10</v>
      </c>
      <c r="J89" s="58"/>
      <c r="K89" s="51">
        <f t="shared" si="38"/>
        <v>79</v>
      </c>
      <c r="L89" s="59" t="str">
        <f t="shared" si="28"/>
        <v>Exeter</v>
      </c>
      <c r="M89" s="153">
        <f t="shared" si="29"/>
        <v>476.6</v>
      </c>
      <c r="N89" s="148">
        <f t="shared" si="39"/>
        <v>476.6</v>
      </c>
      <c r="O89" s="131" t="str">
        <f t="shared" si="30"/>
        <v/>
      </c>
      <c r="P89" s="131">
        <f t="shared" si="45"/>
        <v>476.6</v>
      </c>
      <c r="Q89" s="131" t="str">
        <f t="shared" si="46"/>
        <v/>
      </c>
      <c r="R89" s="127" t="str">
        <f t="shared" si="47"/>
        <v/>
      </c>
      <c r="S89" s="60" t="str">
        <f t="shared" si="40"/>
        <v/>
      </c>
      <c r="T89" s="228">
        <f>IF(L89="","",VLOOKUP(L89,classifications!C:K,9,FALSE))</f>
        <v>0</v>
      </c>
      <c r="U89" s="235" t="str">
        <f t="shared" si="31"/>
        <v/>
      </c>
      <c r="V89" s="236" t="str">
        <f>IF(U89="","",IF($I$8="A",(RANK(U89,U$11:U$355)+COUNTIF(U$11:U89,U89)-1),(RANK(U89,U$11:U$355,1)+COUNTIF(U$11:U89,U89)-1)))</f>
        <v/>
      </c>
      <c r="W89" s="237"/>
      <c r="X89" s="61" t="str">
        <f>IF(L89="","",VLOOKUP($L89,classifications!$C:$J,6,FALSE))</f>
        <v>Urban with City and Town</v>
      </c>
      <c r="Y89" s="49" t="str">
        <f t="shared" si="32"/>
        <v/>
      </c>
      <c r="Z89" s="57" t="str">
        <f>IF(Y89="","",IF(I$8="A",(RANK(Y89,Y$11:Y$355,1)+COUNTIF(Y$11:Y89,Y89)-1),(RANK(Y89,Y$11:Y$355)+COUNTIF(Y$11:Y89,Y89)-1)))</f>
        <v/>
      </c>
      <c r="AA89" s="242" t="str">
        <f>IF(L89="","",VLOOKUP($L89,classifications!C:I,7,FALSE))</f>
        <v>Predominantly Urban</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Devon</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South West</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355.9</v>
      </c>
      <c r="AY89" s="156"/>
      <c r="AZ89" s="44"/>
    </row>
    <row r="90" spans="1:52">
      <c r="A90" s="84" t="str">
        <f>$D$1&amp;80</f>
        <v>SD80</v>
      </c>
      <c r="B90" s="85">
        <f>IF(ISERROR(VLOOKUP(A90,classifications!A:C,3,FALSE)),0,VLOOKUP(A90,classifications!A:C,3,FALSE))</f>
        <v>0</v>
      </c>
      <c r="C90" s="31" t="s">
        <v>308</v>
      </c>
      <c r="D90" s="49" t="str">
        <f>VLOOKUP($C90,classifications!$C:$J,4,FALSE)</f>
        <v>SC</v>
      </c>
      <c r="E90" s="49" t="str">
        <f>VLOOKUP(C90,classifications!C:K,9,FALSE)</f>
        <v>Sparse</v>
      </c>
      <c r="F90" s="59">
        <f t="shared" si="26"/>
        <v>425.1</v>
      </c>
      <c r="G90" s="105"/>
      <c r="H90" s="60" t="str">
        <f t="shared" si="27"/>
        <v/>
      </c>
      <c r="I90" s="112" t="str">
        <f>IF(H90="","",IF($I$8="A",(RANK(H90,H$11:H$355,1)+COUNTIF(H$11:H90,H90)-1),(RANK(H90,H$11:H$355)+COUNTIF(H$11:H90,H90)-1)))</f>
        <v/>
      </c>
      <c r="J90" s="58"/>
      <c r="K90" s="51">
        <f t="shared" si="38"/>
        <v>80</v>
      </c>
      <c r="L90" s="59" t="str">
        <f t="shared" si="28"/>
        <v>North Norfolk</v>
      </c>
      <c r="M90" s="153">
        <f t="shared" si="29"/>
        <v>477.6</v>
      </c>
      <c r="N90" s="148">
        <f t="shared" si="39"/>
        <v>477.6</v>
      </c>
      <c r="O90" s="131" t="str">
        <f t="shared" si="30"/>
        <v/>
      </c>
      <c r="P90" s="131">
        <f t="shared" si="45"/>
        <v>477.6</v>
      </c>
      <c r="Q90" s="131" t="str">
        <f t="shared" si="46"/>
        <v/>
      </c>
      <c r="R90" s="127" t="str">
        <f t="shared" si="47"/>
        <v/>
      </c>
      <c r="S90" s="60" t="str">
        <f t="shared" si="40"/>
        <v/>
      </c>
      <c r="T90" s="228" t="str">
        <f>IF(L90="","",VLOOKUP(L90,classifications!C:K,9,FALSE))</f>
        <v>Sparse</v>
      </c>
      <c r="U90" s="235">
        <f t="shared" si="31"/>
        <v>477.6</v>
      </c>
      <c r="V90" s="236">
        <f>IF(U90="","",IF($I$8="A",(RANK(U90,U$11:U$355)+COUNTIF(U$11:U90,U90)-1),(RANK(U90,U$11:U$355,1)+COUNTIF(U$11:U90,U90)-1)))</f>
        <v>30</v>
      </c>
      <c r="W90" s="237"/>
      <c r="X90" s="61" t="str">
        <f>IF(L90="","",VLOOKUP($L90,classifications!$C:$J,6,FALSE))</f>
        <v xml:space="preserve">Mainly Rural (rural including hub towns &gt;=80%) </v>
      </c>
      <c r="Y90" s="49">
        <f t="shared" si="32"/>
        <v>477.6</v>
      </c>
      <c r="Z90" s="57">
        <f>IF(Y90="","",IF(I$8="A",(RANK(Y90,Y$11:Y$355,1)+COUNTIF(Y$11:Y90,Y90)-1),(RANK(Y90,Y$11:Y$355)+COUNTIF(Y$11:Y90,Y90)-1)))</f>
        <v>21</v>
      </c>
      <c r="AA90" s="242" t="str">
        <f>IF(L90="","",VLOOKUP($L90,classifications!C:I,7,FALSE))</f>
        <v>Predominantly Rural</v>
      </c>
      <c r="AB90" s="236">
        <f t="shared" si="41"/>
        <v>477.6</v>
      </c>
      <c r="AC90" s="236">
        <f>IF(AB90="","",IF($I$8="A",(RANK(AB90,AB$11:AB$355)+COUNTIF(AB$11:AB90,AB90)-1),(RANK(AB90,AB$11:AB$355,1)+COUNTIF(AB$11:AB90,AB90)-1)))</f>
        <v>35</v>
      </c>
      <c r="AD90" s="236"/>
      <c r="AE90" s="51" t="str">
        <f t="shared" si="24"/>
        <v/>
      </c>
      <c r="AG90" s="143"/>
      <c r="AH90" s="52"/>
      <c r="AI90" s="61" t="str">
        <f>IF(L90="","",VLOOKUP($L90,classifications!$C:$J,8,FALSE))</f>
        <v>Norfolk</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East of England</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425.1</v>
      </c>
      <c r="AY90" s="156"/>
      <c r="AZ90" s="44"/>
    </row>
    <row r="91" spans="1:52">
      <c r="A91" s="84" t="str">
        <f>$D$1&amp;81</f>
        <v>SD81</v>
      </c>
      <c r="B91" s="85">
        <f>IF(ISERROR(VLOOKUP(A91,classifications!A:C,3,FALSE)),0,VLOOKUP(A91,classifications!A:C,3,FALSE))</f>
        <v>0</v>
      </c>
      <c r="C91" s="31" t="s">
        <v>229</v>
      </c>
      <c r="D91" s="49" t="str">
        <f>VLOOKUP($C91,classifications!$C:$J,4,FALSE)</f>
        <v>MD</v>
      </c>
      <c r="E91" s="49">
        <f>VLOOKUP(C91,classifications!C:K,9,FALSE)</f>
        <v>0</v>
      </c>
      <c r="F91" s="59">
        <f t="shared" si="26"/>
        <v>565.70000000000005</v>
      </c>
      <c r="G91" s="105"/>
      <c r="H91" s="60" t="str">
        <f t="shared" si="27"/>
        <v/>
      </c>
      <c r="I91" s="112" t="str">
        <f>IF(H91="","",IF($I$8="A",(RANK(H91,H$11:H$355,1)+COUNTIF(H$11:H91,H91)-1),(RANK(H91,H$11:H$355)+COUNTIF(H$11:H91,H91)-1)))</f>
        <v/>
      </c>
      <c r="J91" s="58"/>
      <c r="K91" s="51">
        <f t="shared" si="38"/>
        <v>81</v>
      </c>
      <c r="L91" s="59" t="str">
        <f t="shared" si="28"/>
        <v>Wyre</v>
      </c>
      <c r="M91" s="153">
        <f t="shared" si="29"/>
        <v>477.9</v>
      </c>
      <c r="N91" s="148">
        <f t="shared" si="39"/>
        <v>477.9</v>
      </c>
      <c r="O91" s="131" t="str">
        <f t="shared" si="30"/>
        <v/>
      </c>
      <c r="P91" s="131">
        <f t="shared" si="45"/>
        <v>477.9</v>
      </c>
      <c r="Q91" s="131" t="str">
        <f t="shared" si="46"/>
        <v/>
      </c>
      <c r="R91" s="127" t="str">
        <f t="shared" si="47"/>
        <v/>
      </c>
      <c r="S91" s="60" t="str">
        <f t="shared" si="40"/>
        <v/>
      </c>
      <c r="T91" s="228">
        <f>IF(L91="","",VLOOKUP(L91,classifications!C:K,9,FALSE))</f>
        <v>0</v>
      </c>
      <c r="U91" s="235" t="str">
        <f t="shared" si="31"/>
        <v/>
      </c>
      <c r="V91" s="236" t="str">
        <f>IF(U91="","",IF($I$8="A",(RANK(U91,U$11:U$355)+COUNTIF(U$11:U91,U91)-1),(RANK(U91,U$11:U$355,1)+COUNTIF(U$11:U91,U91)-1)))</f>
        <v/>
      </c>
      <c r="W91" s="237"/>
      <c r="X91" s="61" t="str">
        <f>IF(L91="","",VLOOKUP($L91,classifications!$C:$J,6,FALSE))</f>
        <v xml:space="preserve">Largely Rural (rural including hub towns 50-79%) </v>
      </c>
      <c r="Y91" s="49" t="str">
        <f t="shared" si="32"/>
        <v/>
      </c>
      <c r="Z91" s="57" t="str">
        <f>IF(Y91="","",IF(I$8="A",(RANK(Y91,Y$11:Y$355,1)+COUNTIF(Y$11:Y91,Y91)-1),(RANK(Y91,Y$11:Y$355)+COUNTIF(Y$11:Y91,Y91)-1)))</f>
        <v/>
      </c>
      <c r="AA91" s="242" t="str">
        <f>IF(L91="","",VLOOKUP($L91,classifications!C:I,7,FALSE))</f>
        <v>Predominantly Rural</v>
      </c>
      <c r="AB91" s="236">
        <f t="shared" si="41"/>
        <v>477.9</v>
      </c>
      <c r="AC91" s="236">
        <f>IF(AB91="","",IF($I$8="A",(RANK(AB91,AB$11:AB$355)+COUNTIF(AB$11:AB91,AB91)-1),(RANK(AB91,AB$11:AB$355,1)+COUNTIF(AB$11:AB91,AB91)-1)))</f>
        <v>34</v>
      </c>
      <c r="AD91" s="236"/>
      <c r="AE91" s="51" t="str">
        <f t="shared" si="24"/>
        <v/>
      </c>
      <c r="AG91" s="143"/>
      <c r="AH91" s="52"/>
      <c r="AI91" s="61" t="str">
        <f>IF(L91="","",VLOOKUP($L91,classifications!$C:$J,8,FALSE))</f>
        <v>Lancashire</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North West</v>
      </c>
      <c r="AQ91" s="62">
        <f t="shared" si="43"/>
        <v>477.9</v>
      </c>
      <c r="AR91" s="57">
        <f>IF(AQ91="","",IF(I$8="A",(RANK(AQ91,AQ$11:AQ$355,1)+COUNTIF(AQ$11:AQ91,AQ91)-1),(RANK(AQ91,AQ$11:AQ$355)+COUNTIF(AQ$11:AQ91,AQ91)-1)))</f>
        <v>3</v>
      </c>
      <c r="AS91" s="52" t="str">
        <f t="shared" si="44"/>
        <v/>
      </c>
      <c r="AT91" s="57" t="str">
        <f t="shared" si="36"/>
        <v/>
      </c>
      <c r="AU91" s="62" t="str">
        <f t="shared" si="37"/>
        <v/>
      </c>
      <c r="AX91" s="44">
        <f>HLOOKUP($AX$9&amp;$AX$10,Data!$A$1:$ZZ$2000,(MATCH($C91,Data!$A$1:$A$2000,0)),FALSE)</f>
        <v>565.70000000000005</v>
      </c>
      <c r="AY91" s="156"/>
      <c r="AZ91" s="44"/>
    </row>
    <row r="92" spans="1:52">
      <c r="A92" s="84" t="str">
        <f>$D$1&amp;82</f>
        <v>SD82</v>
      </c>
      <c r="B92" s="85">
        <f>IF(ISERROR(VLOOKUP(A92,classifications!A:C,3,FALSE)),0,VLOOKUP(A92,classifications!A:C,3,FALSE))</f>
        <v>0</v>
      </c>
      <c r="C92" s="31" t="s">
        <v>309</v>
      </c>
      <c r="D92" s="49" t="str">
        <f>VLOOKUP($C92,classifications!$C:$J,4,FALSE)</f>
        <v>UA</v>
      </c>
      <c r="E92" s="49">
        <f>VLOOKUP(C92,classifications!C:K,9,FALSE)</f>
        <v>0</v>
      </c>
      <c r="F92" s="59">
        <f t="shared" si="26"/>
        <v>392</v>
      </c>
      <c r="G92" s="105"/>
      <c r="H92" s="60" t="str">
        <f t="shared" si="27"/>
        <v/>
      </c>
      <c r="I92" s="112" t="str">
        <f>IF(H92="","",IF($I$8="A",(RANK(H92,H$11:H$355,1)+COUNTIF(H$11:H92,H92)-1),(RANK(H92,H$11:H$355)+COUNTIF(H$11:H92,H92)-1)))</f>
        <v/>
      </c>
      <c r="J92" s="58"/>
      <c r="K92" s="51">
        <f t="shared" si="38"/>
        <v>82</v>
      </c>
      <c r="L92" s="59" t="str">
        <f t="shared" si="28"/>
        <v>Rother</v>
      </c>
      <c r="M92" s="153">
        <f t="shared" si="29"/>
        <v>479</v>
      </c>
      <c r="N92" s="148">
        <f t="shared" si="39"/>
        <v>479</v>
      </c>
      <c r="O92" s="131" t="str">
        <f t="shared" si="30"/>
        <v/>
      </c>
      <c r="P92" s="131">
        <f t="shared" si="45"/>
        <v>479</v>
      </c>
      <c r="Q92" s="131" t="str">
        <f t="shared" si="46"/>
        <v/>
      </c>
      <c r="R92" s="127" t="str">
        <f t="shared" si="47"/>
        <v/>
      </c>
      <c r="S92" s="60" t="str">
        <f t="shared" si="40"/>
        <v/>
      </c>
      <c r="T92" s="228" t="str">
        <f>IF(L92="","",VLOOKUP(L92,classifications!C:K,9,FALSE))</f>
        <v>Sparse</v>
      </c>
      <c r="U92" s="235">
        <f t="shared" si="31"/>
        <v>479</v>
      </c>
      <c r="V92" s="236">
        <f>IF(U92="","",IF($I$8="A",(RANK(U92,U$11:U$355)+COUNTIF(U$11:U92,U92)-1),(RANK(U92,U$11:U$355,1)+COUNTIF(U$11:U92,U92)-1)))</f>
        <v>29</v>
      </c>
      <c r="W92" s="237"/>
      <c r="X92" s="61" t="str">
        <f>IF(L92="","",VLOOKUP($L92,classifications!$C:$J,6,FALSE))</f>
        <v xml:space="preserve">Largely Rural (rural including hub towns 50-79%) </v>
      </c>
      <c r="Y92" s="49" t="str">
        <f t="shared" si="32"/>
        <v/>
      </c>
      <c r="Z92" s="57" t="str">
        <f>IF(Y92="","",IF(I$8="A",(RANK(Y92,Y$11:Y$355,1)+COUNTIF(Y$11:Y92,Y92)-1),(RANK(Y92,Y$11:Y$355)+COUNTIF(Y$11:Y92,Y92)-1)))</f>
        <v/>
      </c>
      <c r="AA92" s="242" t="str">
        <f>IF(L92="","",VLOOKUP($L92,classifications!C:I,7,FALSE))</f>
        <v>Predominantly Rural</v>
      </c>
      <c r="AB92" s="236">
        <f t="shared" si="41"/>
        <v>479</v>
      </c>
      <c r="AC92" s="236">
        <f>IF(AB92="","",IF($I$8="A",(RANK(AB92,AB$11:AB$355)+COUNTIF(AB$11:AB92,AB92)-1),(RANK(AB92,AB$11:AB$355,1)+COUNTIF(AB$11:AB92,AB92)-1)))</f>
        <v>33</v>
      </c>
      <c r="AD92" s="236"/>
      <c r="AE92" s="51" t="str">
        <f t="shared" si="24"/>
        <v/>
      </c>
      <c r="AG92" s="143"/>
      <c r="AH92" s="52"/>
      <c r="AI92" s="61" t="str">
        <f>IF(L92="","",VLOOKUP($L92,classifications!$C:$J,8,FALSE))</f>
        <v>East Sussex</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South East</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392</v>
      </c>
      <c r="AY92" s="156"/>
      <c r="AZ92" s="44"/>
    </row>
    <row r="93" spans="1:52">
      <c r="A93" s="84" t="str">
        <f>$D$1&amp;83</f>
        <v>SD83</v>
      </c>
      <c r="B93" s="85">
        <f>IF(ISERROR(VLOOKUP(A93,classifications!A:C,3,FALSE)),0,VLOOKUP(A93,classifications!A:C,3,FALSE))</f>
        <v>0</v>
      </c>
      <c r="C93" s="31" t="s">
        <v>51</v>
      </c>
      <c r="D93" s="49" t="str">
        <f>VLOOKUP($C93,classifications!$C:$J,4,FALSE)</f>
        <v>SD</v>
      </c>
      <c r="E93" s="49">
        <f>VLOOKUP(C93,classifications!C:K,9,FALSE)</f>
        <v>0</v>
      </c>
      <c r="F93" s="59">
        <f t="shared" si="26"/>
        <v>416.3</v>
      </c>
      <c r="G93" s="105"/>
      <c r="H93" s="60">
        <f t="shared" si="27"/>
        <v>416.3</v>
      </c>
      <c r="I93" s="112">
        <f>IF(H93="","",IF($I$8="A",(RANK(H93,H$11:H$355,1)+COUNTIF(H$11:H93,H93)-1),(RANK(H93,H$11:H$355)+COUNTIF(H$11:H93,H93)-1)))</f>
        <v>31</v>
      </c>
      <c r="J93" s="58"/>
      <c r="K93" s="51">
        <f t="shared" si="38"/>
        <v>83</v>
      </c>
      <c r="L93" s="59" t="str">
        <f t="shared" si="28"/>
        <v>Wychavon</v>
      </c>
      <c r="M93" s="153">
        <f t="shared" si="29"/>
        <v>479.1</v>
      </c>
      <c r="N93" s="148">
        <f t="shared" si="39"/>
        <v>479.1</v>
      </c>
      <c r="O93" s="131" t="str">
        <f t="shared" si="30"/>
        <v/>
      </c>
      <c r="P93" s="131">
        <f t="shared" si="45"/>
        <v>479.1</v>
      </c>
      <c r="Q93" s="131" t="str">
        <f t="shared" si="46"/>
        <v/>
      </c>
      <c r="R93" s="127" t="str">
        <f t="shared" si="47"/>
        <v/>
      </c>
      <c r="S93" s="60" t="str">
        <f t="shared" si="40"/>
        <v/>
      </c>
      <c r="T93" s="228" t="str">
        <f>IF(L93="","",VLOOKUP(L93,classifications!C:K,9,FALSE))</f>
        <v>Sparse</v>
      </c>
      <c r="U93" s="235">
        <f t="shared" si="31"/>
        <v>479.1</v>
      </c>
      <c r="V93" s="236">
        <f>IF(U93="","",IF($I$8="A",(RANK(U93,U$11:U$355)+COUNTIF(U$11:U93,U93)-1),(RANK(U93,U$11:U$355,1)+COUNTIF(U$11:U93,U93)-1)))</f>
        <v>28</v>
      </c>
      <c r="W93" s="237"/>
      <c r="X93" s="61" t="str">
        <f>IF(L93="","",VLOOKUP($L93,classifications!$C:$J,6,FALSE))</f>
        <v xml:space="preserve">Mainly Rural (rural including hub towns &gt;=80%) </v>
      </c>
      <c r="Y93" s="49">
        <f t="shared" si="32"/>
        <v>479.1</v>
      </c>
      <c r="Z93" s="57">
        <f>IF(Y93="","",IF(I$8="A",(RANK(Y93,Y$11:Y$355,1)+COUNTIF(Y$11:Y93,Y93)-1),(RANK(Y93,Y$11:Y$355)+COUNTIF(Y$11:Y93,Y93)-1)))</f>
        <v>22</v>
      </c>
      <c r="AA93" s="242" t="str">
        <f>IF(L93="","",VLOOKUP($L93,classifications!C:I,7,FALSE))</f>
        <v>Predominantly Rural</v>
      </c>
      <c r="AB93" s="236">
        <f t="shared" si="41"/>
        <v>479.1</v>
      </c>
      <c r="AC93" s="236">
        <f>IF(AB93="","",IF($I$8="A",(RANK(AB93,AB$11:AB$355)+COUNTIF(AB$11:AB93,AB93)-1),(RANK(AB93,AB$11:AB$355,1)+COUNTIF(AB$11:AB93,AB93)-1)))</f>
        <v>32</v>
      </c>
      <c r="AD93" s="236"/>
      <c r="AE93" s="51" t="str">
        <f t="shared" si="24"/>
        <v/>
      </c>
      <c r="AG93" s="143"/>
      <c r="AH93" s="52"/>
      <c r="AI93" s="61" t="str">
        <f>IF(L93="","",VLOOKUP($L93,classifications!$C:$J,8,FALSE))</f>
        <v>Worcestershire</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West Midlands</v>
      </c>
      <c r="AQ93" s="62" t="str">
        <f t="shared" si="43"/>
        <v/>
      </c>
      <c r="AR93" s="57" t="str">
        <f>IF(AQ93="","",IF(I$8="A",(RANK(AQ93,AQ$11:AQ$355,1)+COUNTIF(AQ$11:AQ93,AQ93)-1),(RANK(AQ93,AQ$11:AQ$355)+COUNTIF(AQ$11:AQ93,AQ93)-1)))</f>
        <v/>
      </c>
      <c r="AS93" s="52" t="str">
        <f t="shared" si="44"/>
        <v/>
      </c>
      <c r="AT93" s="57" t="str">
        <f t="shared" si="36"/>
        <v/>
      </c>
      <c r="AU93" s="62" t="str">
        <f t="shared" si="37"/>
        <v/>
      </c>
      <c r="AX93" s="44">
        <f>HLOOKUP($AX$9&amp;$AX$10,Data!$A$1:$ZZ$2000,(MATCH($C93,Data!$A$1:$A$2000,0)),FALSE)</f>
        <v>416.3</v>
      </c>
      <c r="AY93" s="156"/>
      <c r="AZ93" s="44"/>
    </row>
    <row r="94" spans="1:52">
      <c r="A94" s="84" t="str">
        <f>$D$1&amp;84</f>
        <v>SD84</v>
      </c>
      <c r="B94" s="85">
        <f>IF(ISERROR(VLOOKUP(A94,classifications!A:C,3,FALSE)),0,VLOOKUP(A94,classifications!A:C,3,FALSE))</f>
        <v>0</v>
      </c>
      <c r="C94" s="31" t="s">
        <v>266</v>
      </c>
      <c r="D94" s="49" t="str">
        <f>VLOOKUP($C94,classifications!$C:$J,4,FALSE)</f>
        <v>UA</v>
      </c>
      <c r="E94" s="49" t="str">
        <f>VLOOKUP(C94,classifications!C:K,9,FALSE)</f>
        <v>Sparse</v>
      </c>
      <c r="F94" s="59">
        <f t="shared" si="26"/>
        <v>612.29999999999995</v>
      </c>
      <c r="G94" s="105"/>
      <c r="H94" s="60" t="str">
        <f t="shared" si="27"/>
        <v/>
      </c>
      <c r="I94" s="112" t="str">
        <f>IF(H94="","",IF($I$8="A",(RANK(H94,H$11:H$355,1)+COUNTIF(H$11:H94,H94)-1),(RANK(H94,H$11:H$355)+COUNTIF(H$11:H94,H94)-1)))</f>
        <v/>
      </c>
      <c r="J94" s="58"/>
      <c r="K94" s="51">
        <f t="shared" si="38"/>
        <v>84</v>
      </c>
      <c r="L94" s="59" t="str">
        <f t="shared" si="28"/>
        <v>Tonbridge &amp; Malling</v>
      </c>
      <c r="M94" s="153">
        <f t="shared" si="29"/>
        <v>480.3</v>
      </c>
      <c r="N94" s="148">
        <f t="shared" si="39"/>
        <v>480.3</v>
      </c>
      <c r="O94" s="131" t="str">
        <f t="shared" si="30"/>
        <v/>
      </c>
      <c r="P94" s="131">
        <f t="shared" si="45"/>
        <v>480.3</v>
      </c>
      <c r="Q94" s="131" t="str">
        <f t="shared" si="46"/>
        <v/>
      </c>
      <c r="R94" s="127" t="str">
        <f t="shared" si="47"/>
        <v/>
      </c>
      <c r="S94" s="60" t="str">
        <f t="shared" si="40"/>
        <v/>
      </c>
      <c r="T94" s="228">
        <f>IF(L94="","",VLOOKUP(L94,classifications!C:K,9,FALSE))</f>
        <v>0</v>
      </c>
      <c r="U94" s="235" t="str">
        <f t="shared" si="31"/>
        <v/>
      </c>
      <c r="V94" s="236" t="str">
        <f>IF(U94="","",IF($I$8="A",(RANK(U94,U$11:U$355)+COUNTIF(U$11:U94,U94)-1),(RANK(U94,U$11:U$355,1)+COUNTIF(U$11:U94,U94)-1)))</f>
        <v/>
      </c>
      <c r="W94" s="237"/>
      <c r="X94" s="61" t="str">
        <f>IF(L94="","",VLOOKUP($L94,classifications!$C:$J,6,FALSE))</f>
        <v>Urban with Significant Rural (rural including hub towns 26-49%)</v>
      </c>
      <c r="Y94" s="49" t="str">
        <f t="shared" si="32"/>
        <v/>
      </c>
      <c r="Z94" s="57" t="str">
        <f>IF(Y94="","",IF(I$8="A",(RANK(Y94,Y$11:Y$355,1)+COUNTIF(Y$11:Y94,Y94)-1),(RANK(Y94,Y$11:Y$355)+COUNTIF(Y$11:Y94,Y94)-1)))</f>
        <v/>
      </c>
      <c r="AA94" s="242" t="str">
        <f>IF(L94="","",VLOOKUP($L94,classifications!C:I,7,FALSE))</f>
        <v>Significant Rural</v>
      </c>
      <c r="AB94" s="236" t="str">
        <f t="shared" si="41"/>
        <v/>
      </c>
      <c r="AC94" s="236" t="str">
        <f>IF(AB94="","",IF($I$8="A",(RANK(AB94,AB$11:AB$355)+COUNTIF(AB$11:AB94,AB94)-1),(RANK(AB94,AB$11:AB$355,1)+COUNTIF(AB$11:AB94,AB94)-1)))</f>
        <v/>
      </c>
      <c r="AD94" s="236"/>
      <c r="AE94" s="51" t="str">
        <f t="shared" si="24"/>
        <v/>
      </c>
      <c r="AG94" s="143"/>
      <c r="AH94" s="52"/>
      <c r="AI94" s="61" t="str">
        <f>IF(L94="","",VLOOKUP($L94,classifications!$C:$J,8,FALSE))</f>
        <v>Kent</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South East</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612.29999999999995</v>
      </c>
      <c r="AY94" s="156"/>
      <c r="AZ94" s="44"/>
    </row>
    <row r="95" spans="1:52">
      <c r="A95" s="84" t="str">
        <f>$D$1&amp;85</f>
        <v>SD85</v>
      </c>
      <c r="B95" s="85">
        <f>IF(ISERROR(VLOOKUP(A95,classifications!A:C,3,FALSE)),0,VLOOKUP(A95,classifications!A:C,3,FALSE))</f>
        <v>0</v>
      </c>
      <c r="C95" s="31" t="s">
        <v>230</v>
      </c>
      <c r="D95" s="49" t="str">
        <f>VLOOKUP($C95,classifications!$C:$J,4,FALSE)</f>
        <v>MD</v>
      </c>
      <c r="E95" s="49">
        <f>VLOOKUP(C95,classifications!C:K,9,FALSE)</f>
        <v>0</v>
      </c>
      <c r="F95" s="59">
        <f t="shared" si="26"/>
        <v>575.1</v>
      </c>
      <c r="G95" s="105"/>
      <c r="H95" s="60" t="str">
        <f t="shared" si="27"/>
        <v/>
      </c>
      <c r="I95" s="112" t="str">
        <f>IF(H95="","",IF($I$8="A",(RANK(H95,H$11:H$355,1)+COUNTIF(H$11:H95,H95)-1),(RANK(H95,H$11:H$355)+COUNTIF(H$11:H95,H95)-1)))</f>
        <v/>
      </c>
      <c r="J95" s="58"/>
      <c r="K95" s="51">
        <f t="shared" si="38"/>
        <v>85</v>
      </c>
      <c r="L95" s="59" t="str">
        <f t="shared" si="28"/>
        <v>Fylde</v>
      </c>
      <c r="M95" s="153">
        <f t="shared" si="29"/>
        <v>482.7</v>
      </c>
      <c r="N95" s="148">
        <f t="shared" si="39"/>
        <v>482.7</v>
      </c>
      <c r="O95" s="131" t="str">
        <f t="shared" si="30"/>
        <v/>
      </c>
      <c r="P95" s="131">
        <f t="shared" si="45"/>
        <v>482.7</v>
      </c>
      <c r="Q95" s="131" t="str">
        <f t="shared" si="46"/>
        <v/>
      </c>
      <c r="R95" s="127" t="str">
        <f t="shared" si="47"/>
        <v/>
      </c>
      <c r="S95" s="60" t="str">
        <f t="shared" si="40"/>
        <v/>
      </c>
      <c r="T95" s="228">
        <f>IF(L95="","",VLOOKUP(L95,classifications!C:K,9,FALSE))</f>
        <v>0</v>
      </c>
      <c r="U95" s="235" t="str">
        <f t="shared" si="31"/>
        <v/>
      </c>
      <c r="V95" s="236" t="str">
        <f>IF(U95="","",IF($I$8="A",(RANK(U95,U$11:U$355)+COUNTIF(U$11:U95,U95)-1),(RANK(U95,U$11:U$355,1)+COUNTIF(U$11:U95,U95)-1)))</f>
        <v/>
      </c>
      <c r="W95" s="237"/>
      <c r="X95" s="61" t="str">
        <f>IF(L95="","",VLOOKUP($L95,classifications!$C:$J,6,FALSE))</f>
        <v>Urban with City and Town</v>
      </c>
      <c r="Y95" s="49" t="str">
        <f t="shared" si="32"/>
        <v/>
      </c>
      <c r="Z95" s="57" t="str">
        <f>IF(Y95="","",IF(I$8="A",(RANK(Y95,Y$11:Y$355,1)+COUNTIF(Y$11:Y95,Y95)-1),(RANK(Y95,Y$11:Y$355)+COUNTIF(Y$11:Y95,Y95)-1)))</f>
        <v/>
      </c>
      <c r="AA95" s="242" t="str">
        <f>IF(L95="","",VLOOKUP($L95,classifications!C:I,7,FALSE))</f>
        <v>Predominantly Urban</v>
      </c>
      <c r="AB95" s="236" t="str">
        <f t="shared" si="41"/>
        <v/>
      </c>
      <c r="AC95" s="236" t="str">
        <f>IF(AB95="","",IF($I$8="A",(RANK(AB95,AB$11:AB$355)+COUNTIF(AB$11:AB95,AB95)-1),(RANK(AB95,AB$11:AB$355,1)+COUNTIF(AB$11:AB95,AB95)-1)))</f>
        <v/>
      </c>
      <c r="AD95" s="236"/>
      <c r="AE95" s="51" t="str">
        <f t="shared" si="24"/>
        <v/>
      </c>
      <c r="AG95" s="143"/>
      <c r="AH95" s="52"/>
      <c r="AI95" s="61" t="str">
        <f>IF(L95="","",VLOOKUP($L95,classifications!$C:$J,8,FALSE))</f>
        <v>Lancashire</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North West</v>
      </c>
      <c r="AQ95" s="62">
        <f t="shared" si="43"/>
        <v>482.7</v>
      </c>
      <c r="AR95" s="57">
        <f>IF(AQ95="","",IF(I$8="A",(RANK(AQ95,AQ$11:AQ$355,1)+COUNTIF(AQ$11:AQ95,AQ95)-1),(RANK(AQ95,AQ$11:AQ$355)+COUNTIF(AQ$11:AQ95,AQ95)-1)))</f>
        <v>4</v>
      </c>
      <c r="AS95" s="52" t="str">
        <f t="shared" si="44"/>
        <v/>
      </c>
      <c r="AT95" s="57" t="str">
        <f t="shared" si="36"/>
        <v/>
      </c>
      <c r="AU95" s="62" t="str">
        <f t="shared" si="37"/>
        <v/>
      </c>
      <c r="AX95" s="44">
        <f>HLOOKUP($AX$9&amp;$AX$10,Data!$A$1:$ZZ$2000,(MATCH($C95,Data!$A$1:$A$2000,0)),FALSE)</f>
        <v>575.1</v>
      </c>
      <c r="AY95" s="156"/>
      <c r="AZ95" s="44"/>
    </row>
    <row r="96" spans="1:52">
      <c r="A96" s="84" t="str">
        <f>$D$1&amp;86</f>
        <v>SD86</v>
      </c>
      <c r="B96" s="85">
        <f>IF(ISERROR(VLOOKUP(A96,classifications!A:C,3,FALSE)),0,VLOOKUP(A96,classifications!A:C,3,FALSE))</f>
        <v>0</v>
      </c>
      <c r="C96" s="31" t="s">
        <v>202</v>
      </c>
      <c r="D96" s="49" t="str">
        <f>VLOOKUP($C96,classifications!$C:$J,4,FALSE)</f>
        <v>L</v>
      </c>
      <c r="E96" s="49">
        <f>VLOOKUP(C96,classifications!C:K,9,FALSE)</f>
        <v>0</v>
      </c>
      <c r="F96" s="59">
        <f t="shared" si="26"/>
        <v>328</v>
      </c>
      <c r="G96" s="105"/>
      <c r="H96" s="60" t="str">
        <f t="shared" si="27"/>
        <v/>
      </c>
      <c r="I96" s="112" t="str">
        <f>IF(H96="","",IF($I$8="A",(RANK(H96,H$11:H$355,1)+COUNTIF(H$11:H96,H96)-1),(RANK(H96,H$11:H$355)+COUNTIF(H$11:H96,H96)-1)))</f>
        <v/>
      </c>
      <c r="J96" s="58"/>
      <c r="K96" s="51">
        <f t="shared" si="38"/>
        <v>86</v>
      </c>
      <c r="L96" s="59" t="str">
        <f t="shared" si="28"/>
        <v>Rugby</v>
      </c>
      <c r="M96" s="153">
        <f t="shared" si="29"/>
        <v>486.2</v>
      </c>
      <c r="N96" s="148">
        <f t="shared" si="39"/>
        <v>486.2</v>
      </c>
      <c r="O96" s="131" t="str">
        <f t="shared" si="30"/>
        <v/>
      </c>
      <c r="P96" s="131">
        <f t="shared" si="45"/>
        <v>486.2</v>
      </c>
      <c r="Q96" s="131" t="str">
        <f t="shared" si="46"/>
        <v/>
      </c>
      <c r="R96" s="127" t="str">
        <f t="shared" si="47"/>
        <v/>
      </c>
      <c r="S96" s="60" t="str">
        <f t="shared" si="40"/>
        <v/>
      </c>
      <c r="T96" s="228" t="str">
        <f>IF(L96="","",VLOOKUP(L96,classifications!C:K,9,FALSE))</f>
        <v>Sparse</v>
      </c>
      <c r="U96" s="235">
        <f t="shared" si="31"/>
        <v>486.2</v>
      </c>
      <c r="V96" s="236">
        <f>IF(U96="","",IF($I$8="A",(RANK(U96,U$11:U$355)+COUNTIF(U$11:U96,U96)-1),(RANK(U96,U$11:U$355,1)+COUNTIF(U$11:U96,U96)-1)))</f>
        <v>27</v>
      </c>
      <c r="W96" s="237"/>
      <c r="X96" s="61" t="str">
        <f>IF(L96="","",VLOOKUP($L96,classifications!$C:$J,6,FALSE))</f>
        <v>Urban with City and Town</v>
      </c>
      <c r="Y96" s="49" t="str">
        <f t="shared" si="32"/>
        <v/>
      </c>
      <c r="Z96" s="57" t="str">
        <f>IF(Y96="","",IF(I$8="A",(RANK(Y96,Y$11:Y$355,1)+COUNTIF(Y$11:Y96,Y96)-1),(RANK(Y96,Y$11:Y$355)+COUNTIF(Y$11:Y96,Y96)-1)))</f>
        <v/>
      </c>
      <c r="AA96" s="242" t="str">
        <f>IF(L96="","",VLOOKUP($L96,classifications!C:I,7,FALSE))</f>
        <v>Predominantly Urban</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Warwickshire</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West Midlands</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328</v>
      </c>
      <c r="AY96" s="156"/>
      <c r="AZ96" s="44"/>
    </row>
    <row r="97" spans="1:52">
      <c r="A97" s="84" t="str">
        <f>$D$1&amp;87</f>
        <v>SD87</v>
      </c>
      <c r="B97" s="85">
        <f>IF(ISERROR(VLOOKUP(A97,classifications!A:C,3,FALSE)),0,VLOOKUP(A97,classifications!A:C,3,FALSE))</f>
        <v>0</v>
      </c>
      <c r="C97" s="31" t="s">
        <v>52</v>
      </c>
      <c r="D97" s="49" t="str">
        <f>VLOOKUP($C97,classifications!$C:$J,4,FALSE)</f>
        <v>SD</v>
      </c>
      <c r="E97" s="49" t="str">
        <f>VLOOKUP(C97,classifications!C:K,9,FALSE)</f>
        <v>Sparse</v>
      </c>
      <c r="F97" s="59">
        <f t="shared" si="26"/>
        <v>392.7</v>
      </c>
      <c r="G97" s="105"/>
      <c r="H97" s="60">
        <f t="shared" si="27"/>
        <v>392.7</v>
      </c>
      <c r="I97" s="112">
        <f>IF(H97="","",IF($I$8="A",(RANK(H97,H$11:H$355,1)+COUNTIF(H$11:H97,H97)-1),(RANK(H97,H$11:H$355)+COUNTIF(H$11:H97,H97)-1)))</f>
        <v>22</v>
      </c>
      <c r="J97" s="58"/>
      <c r="K97" s="51">
        <f t="shared" si="38"/>
        <v>87</v>
      </c>
      <c r="L97" s="59" t="str">
        <f t="shared" si="28"/>
        <v>Epping Forest</v>
      </c>
      <c r="M97" s="153">
        <f t="shared" si="29"/>
        <v>486.3</v>
      </c>
      <c r="N97" s="148">
        <f t="shared" si="39"/>
        <v>486.3</v>
      </c>
      <c r="O97" s="131" t="str">
        <f t="shared" si="30"/>
        <v/>
      </c>
      <c r="P97" s="131">
        <f t="shared" si="45"/>
        <v>486.3</v>
      </c>
      <c r="Q97" s="131" t="str">
        <f t="shared" si="46"/>
        <v/>
      </c>
      <c r="R97" s="127" t="str">
        <f t="shared" si="47"/>
        <v/>
      </c>
      <c r="S97" s="60" t="str">
        <f t="shared" si="40"/>
        <v/>
      </c>
      <c r="T97" s="228">
        <f>IF(L97="","",VLOOKUP(L97,classifications!C:K,9,FALSE))</f>
        <v>0</v>
      </c>
      <c r="U97" s="235" t="str">
        <f t="shared" si="31"/>
        <v/>
      </c>
      <c r="V97" s="236" t="str">
        <f>IF(U97="","",IF($I$8="A",(RANK(U97,U$11:U$355)+COUNTIF(U$11:U97,U97)-1),(RANK(U97,U$11:U$355,1)+COUNTIF(U$11:U97,U97)-1)))</f>
        <v/>
      </c>
      <c r="W97" s="237"/>
      <c r="X97" s="61" t="str">
        <f>IF(L97="","",VLOOKUP($L97,classifications!$C:$J,6,FALSE))</f>
        <v>Urban with Significant Rural (rural including hub towns 26-49%)</v>
      </c>
      <c r="Y97" s="49" t="str">
        <f t="shared" si="32"/>
        <v/>
      </c>
      <c r="Z97" s="57" t="str">
        <f>IF(Y97="","",IF(I$8="A",(RANK(Y97,Y$11:Y$355,1)+COUNTIF(Y$11:Y97,Y97)-1),(RANK(Y97,Y$11:Y$355)+COUNTIF(Y$11:Y97,Y97)-1)))</f>
        <v/>
      </c>
      <c r="AA97" s="242" t="str">
        <f>IF(L97="","",VLOOKUP($L97,classifications!C:I,7,FALSE))</f>
        <v>Significant Rural</v>
      </c>
      <c r="AB97" s="236" t="str">
        <f t="shared" si="41"/>
        <v/>
      </c>
      <c r="AC97" s="236" t="str">
        <f>IF(AB97="","",IF($I$8="A",(RANK(AB97,AB$11:AB$355)+COUNTIF(AB$11:AB97,AB97)-1),(RANK(AB97,AB$11:AB$355,1)+COUNTIF(AB$11:AB97,AB97)-1)))</f>
        <v/>
      </c>
      <c r="AD97" s="236"/>
      <c r="AE97" s="51" t="str">
        <f t="shared" si="24"/>
        <v/>
      </c>
      <c r="AG97" s="143"/>
      <c r="AH97" s="52"/>
      <c r="AI97" s="61" t="str">
        <f>IF(L97="","",VLOOKUP($L97,classifications!$C:$J,8,FALSE))</f>
        <v>Essex</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East of England</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392.7</v>
      </c>
      <c r="AY97" s="156"/>
      <c r="AZ97" s="44"/>
    </row>
    <row r="98" spans="1:52">
      <c r="A98" s="84" t="str">
        <f>$D$1&amp;88</f>
        <v>SD88</v>
      </c>
      <c r="B98" s="85">
        <f>IF(ISERROR(VLOOKUP(A98,classifications!A:C,3,FALSE)),0,VLOOKUP(A98,classifications!A:C,3,FALSE))</f>
        <v>0</v>
      </c>
      <c r="C98" s="31" t="s">
        <v>53</v>
      </c>
      <c r="D98" s="49" t="str">
        <f>VLOOKUP($C98,classifications!$C:$J,4,FALSE)</f>
        <v>SD</v>
      </c>
      <c r="E98" s="49" t="str">
        <f>VLOOKUP(C98,classifications!C:K,9,FALSE)</f>
        <v>Sparse</v>
      </c>
      <c r="F98" s="59">
        <f t="shared" si="26"/>
        <v>269.39999999999998</v>
      </c>
      <c r="G98" s="105"/>
      <c r="H98" s="60">
        <f t="shared" si="27"/>
        <v>269.39999999999998</v>
      </c>
      <c r="I98" s="112">
        <f>IF(H98="","",IF($I$8="A",(RANK(H98,H$11:H$355,1)+COUNTIF(H$11:H98,H98)-1),(RANK(H98,H$11:H$355)+COUNTIF(H$11:H98,H98)-1)))</f>
        <v>1</v>
      </c>
      <c r="J98" s="58"/>
      <c r="K98" s="51">
        <f t="shared" si="38"/>
        <v>88</v>
      </c>
      <c r="L98" s="59" t="str">
        <f t="shared" si="28"/>
        <v>Eastleigh</v>
      </c>
      <c r="M98" s="153">
        <f t="shared" si="29"/>
        <v>487.6</v>
      </c>
      <c r="N98" s="148">
        <f t="shared" si="39"/>
        <v>487.6</v>
      </c>
      <c r="O98" s="131" t="str">
        <f t="shared" si="30"/>
        <v/>
      </c>
      <c r="P98" s="131">
        <f t="shared" si="45"/>
        <v>487.6</v>
      </c>
      <c r="Q98" s="131" t="str">
        <f t="shared" si="46"/>
        <v/>
      </c>
      <c r="R98" s="127" t="str">
        <f t="shared" si="47"/>
        <v/>
      </c>
      <c r="S98" s="60" t="str">
        <f t="shared" si="40"/>
        <v/>
      </c>
      <c r="T98" s="228">
        <f>IF(L98="","",VLOOKUP(L98,classifications!C:K,9,FALSE))</f>
        <v>0</v>
      </c>
      <c r="U98" s="235" t="str">
        <f t="shared" si="31"/>
        <v/>
      </c>
      <c r="V98" s="236" t="str">
        <f>IF(U98="","",IF($I$8="A",(RANK(U98,U$11:U$355)+COUNTIF(U$11:U98,U98)-1),(RANK(U98,U$11:U$355,1)+COUNTIF(U$11:U98,U98)-1)))</f>
        <v/>
      </c>
      <c r="W98" s="237"/>
      <c r="X98" s="61" t="str">
        <f>IF(L98="","",VLOOKUP($L98,classifications!$C:$J,6,FALSE))</f>
        <v>Urban with City and Town</v>
      </c>
      <c r="Y98" s="49" t="str">
        <f t="shared" si="32"/>
        <v/>
      </c>
      <c r="Z98" s="57" t="str">
        <f>IF(Y98="","",IF(I$8="A",(RANK(Y98,Y$11:Y$355,1)+COUNTIF(Y$11:Y98,Y98)-1),(RANK(Y98,Y$11:Y$355)+COUNTIF(Y$11:Y98,Y98)-1)))</f>
        <v/>
      </c>
      <c r="AA98" s="242" t="str">
        <f>IF(L98="","",VLOOKUP($L98,classifications!C:I,7,FALSE))</f>
        <v>Predominantly Urban</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Hampshire</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South East</v>
      </c>
      <c r="AQ98" s="62" t="str">
        <f t="shared" si="43"/>
        <v/>
      </c>
      <c r="AR98" s="57" t="str">
        <f>IF(AQ98="","",IF(I$8="A",(RANK(AQ98,AQ$11:AQ$355,1)+COUNTIF(AQ$11:AQ98,AQ98)-1),(RANK(AQ98,AQ$11:AQ$355)+COUNTIF(AQ$11:AQ98,AQ98)-1)))</f>
        <v/>
      </c>
      <c r="AS98" s="52" t="str">
        <f t="shared" si="44"/>
        <v/>
      </c>
      <c r="AT98" s="57" t="str">
        <f t="shared" si="36"/>
        <v/>
      </c>
      <c r="AU98" s="62" t="str">
        <f t="shared" si="37"/>
        <v/>
      </c>
      <c r="AX98" s="44">
        <f>HLOOKUP($AX$9&amp;$AX$10,Data!$A$1:$ZZ$2000,(MATCH($C98,Data!$A$1:$A$2000,0)),FALSE)</f>
        <v>269.39999999999998</v>
      </c>
      <c r="AY98" s="156"/>
      <c r="AZ98" s="44"/>
    </row>
    <row r="99" spans="1:52">
      <c r="A99" s="84" t="str">
        <f>$D$1&amp;89</f>
        <v>SD89</v>
      </c>
      <c r="B99" s="85">
        <f>IF(ISERROR(VLOOKUP(A99,classifications!A:C,3,FALSE)),0,VLOOKUP(A99,classifications!A:C,3,FALSE))</f>
        <v>0</v>
      </c>
      <c r="C99" s="31" t="s">
        <v>55</v>
      </c>
      <c r="D99" s="49" t="str">
        <f>VLOOKUP($C99,classifications!$C:$J,4,FALSE)</f>
        <v>SD</v>
      </c>
      <c r="E99" s="49">
        <f>VLOOKUP(C99,classifications!C:K,9,FALSE)</f>
        <v>0</v>
      </c>
      <c r="F99" s="59">
        <f t="shared" si="26"/>
        <v>497.2</v>
      </c>
      <c r="G99" s="105"/>
      <c r="H99" s="60">
        <f t="shared" si="27"/>
        <v>497.2</v>
      </c>
      <c r="I99" s="112">
        <f>IF(H99="","",IF($I$8="A",(RANK(H99,H$11:H$355,1)+COUNTIF(H$11:H99,H99)-1),(RANK(H99,H$11:H$355)+COUNTIF(H$11:H99,H99)-1)))</f>
        <v>97</v>
      </c>
      <c r="J99" s="58"/>
      <c r="K99" s="51">
        <f t="shared" si="38"/>
        <v>89</v>
      </c>
      <c r="L99" s="59" t="str">
        <f t="shared" si="28"/>
        <v>Fareham</v>
      </c>
      <c r="M99" s="153">
        <f t="shared" si="29"/>
        <v>488.8</v>
      </c>
      <c r="N99" s="148">
        <f t="shared" si="39"/>
        <v>488.8</v>
      </c>
      <c r="O99" s="131" t="str">
        <f t="shared" si="30"/>
        <v/>
      </c>
      <c r="P99" s="131">
        <f t="shared" si="45"/>
        <v>488.8</v>
      </c>
      <c r="Q99" s="131" t="str">
        <f t="shared" si="46"/>
        <v/>
      </c>
      <c r="R99" s="127" t="str">
        <f t="shared" si="47"/>
        <v/>
      </c>
      <c r="S99" s="60" t="str">
        <f t="shared" si="40"/>
        <v/>
      </c>
      <c r="T99" s="228">
        <f>IF(L99="","",VLOOKUP(L99,classifications!C:K,9,FALSE))</f>
        <v>0</v>
      </c>
      <c r="U99" s="235" t="str">
        <f t="shared" si="31"/>
        <v/>
      </c>
      <c r="V99" s="236" t="str">
        <f>IF(U99="","",IF($I$8="A",(RANK(U99,U$11:U$355)+COUNTIF(U$11:U99,U99)-1),(RANK(U99,U$11:U$355,1)+COUNTIF(U$11:U99,U99)-1)))</f>
        <v/>
      </c>
      <c r="W99" s="237"/>
      <c r="X99" s="61" t="str">
        <f>IF(L99="","",VLOOKUP($L99,classifications!$C:$J,6,FALSE))</f>
        <v>Urban with City and Town</v>
      </c>
      <c r="Y99" s="49" t="str">
        <f t="shared" si="32"/>
        <v/>
      </c>
      <c r="Z99" s="57" t="str">
        <f>IF(Y99="","",IF(I$8="A",(RANK(Y99,Y$11:Y$355,1)+COUNTIF(Y$11:Y99,Y99)-1),(RANK(Y99,Y$11:Y$355)+COUNTIF(Y$11:Y99,Y99)-1)))</f>
        <v/>
      </c>
      <c r="AA99" s="242" t="str">
        <f>IF(L99="","",VLOOKUP($L99,classifications!C:I,7,FALSE))</f>
        <v>Predominantly Urban</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Hampshire</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South East</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497.2</v>
      </c>
      <c r="AY99" s="156"/>
      <c r="AZ99" s="44"/>
    </row>
    <row r="100" spans="1:52">
      <c r="A100" s="84" t="str">
        <f>$D$1&amp;90</f>
        <v>SD90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462.5</v>
      </c>
      <c r="G100" s="105"/>
      <c r="H100" s="60">
        <f t="shared" si="27"/>
        <v>462.5</v>
      </c>
      <c r="I100" s="112">
        <f>IF(H100="","",IF($I$8="A",(RANK(H100,H$11:H$355,1)+COUNTIF(H$11:H100,H100)-1),(RANK(H100,H$11:H$355)+COUNTIF(H$11:H100,H100)-1)))</f>
        <v>67</v>
      </c>
      <c r="J100" s="58"/>
      <c r="K100" s="51">
        <f t="shared" si="38"/>
        <v>90</v>
      </c>
      <c r="L100" s="59" t="str">
        <f t="shared" si="28"/>
        <v>Craven</v>
      </c>
      <c r="M100" s="153">
        <f t="shared" si="29"/>
        <v>490.9</v>
      </c>
      <c r="N100" s="148">
        <f t="shared" si="39"/>
        <v>490.9</v>
      </c>
      <c r="O100" s="131" t="str">
        <f t="shared" si="30"/>
        <v/>
      </c>
      <c r="P100" s="131">
        <f t="shared" si="45"/>
        <v>490.9</v>
      </c>
      <c r="Q100" s="131" t="str">
        <f t="shared" si="46"/>
        <v/>
      </c>
      <c r="R100" s="127" t="str">
        <f t="shared" si="47"/>
        <v/>
      </c>
      <c r="S100" s="60" t="str">
        <f t="shared" si="40"/>
        <v/>
      </c>
      <c r="T100" s="228" t="str">
        <f>IF(L100="","",VLOOKUP(L100,classifications!C:K,9,FALSE))</f>
        <v>Sparse</v>
      </c>
      <c r="U100" s="235">
        <f t="shared" si="31"/>
        <v>490.9</v>
      </c>
      <c r="V100" s="236">
        <f>IF(U100="","",IF($I$8="A",(RANK(U100,U$11:U$355)+COUNTIF(U$11:U100,U100)-1),(RANK(U100,U$11:U$355,1)+COUNTIF(U$11:U100,U100)-1)))</f>
        <v>26</v>
      </c>
      <c r="W100" s="237"/>
      <c r="X100" s="61" t="str">
        <f>IF(L100="","",VLOOKUP($L100,classifications!$C:$J,6,FALSE))</f>
        <v xml:space="preserve">Mainly Rural (rural including hub towns &gt;=80%) </v>
      </c>
      <c r="Y100" s="49">
        <f t="shared" si="32"/>
        <v>490.9</v>
      </c>
      <c r="Z100" s="57">
        <f>IF(Y100="","",IF(I$8="A",(RANK(Y100,Y$11:Y$355,1)+COUNTIF(Y$11:Y100,Y100)-1),(RANK(Y100,Y$11:Y$355)+COUNTIF(Y$11:Y100,Y100)-1)))</f>
        <v>23</v>
      </c>
      <c r="AA100" s="242" t="str">
        <f>IF(L100="","",VLOOKUP($L100,classifications!C:I,7,FALSE))</f>
        <v>Predominantly Rural</v>
      </c>
      <c r="AB100" s="236">
        <f t="shared" si="41"/>
        <v>490.9</v>
      </c>
      <c r="AC100" s="236">
        <f>IF(AB100="","",IF($I$8="A",(RANK(AB100,AB$11:AB$355)+COUNTIF(AB$11:AB100,AB100)-1),(RANK(AB100,AB$11:AB$355,1)+COUNTIF(AB$11:AB100,AB100)-1)))</f>
        <v>31</v>
      </c>
      <c r="AD100" s="236"/>
      <c r="AE100" s="51" t="str">
        <f t="shared" si="48"/>
        <v/>
      </c>
      <c r="AG100" s="143"/>
      <c r="AH100" s="52"/>
      <c r="AI100" s="61" t="str">
        <f>IF(L100="","",VLOOKUP($L100,classifications!$C:$J,8,FALSE))</f>
        <v>North Yorkshire</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Yorkshire &amp; Humberside</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462.5</v>
      </c>
      <c r="AY100" s="156"/>
      <c r="AZ100" s="44"/>
    </row>
    <row r="101" spans="1:52">
      <c r="A101" s="84" t="str">
        <f>$D$1&amp;91</f>
        <v>SD91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503.4</v>
      </c>
      <c r="G101" s="105"/>
      <c r="H101" s="60">
        <f t="shared" si="27"/>
        <v>503.4</v>
      </c>
      <c r="I101" s="112">
        <f>IF(H101="","",IF($I$8="A",(RANK(H101,H$11:H$355,1)+COUNTIF(H$11:H101,H101)-1),(RANK(H101,H$11:H$355)+COUNTIF(H$11:H101,H101)-1)))</f>
        <v>102</v>
      </c>
      <c r="J101" s="58"/>
      <c r="K101" s="51">
        <f t="shared" si="38"/>
        <v>91</v>
      </c>
      <c r="L101" s="59" t="str">
        <f t="shared" si="28"/>
        <v>Lancaster</v>
      </c>
      <c r="M101" s="153">
        <f t="shared" si="29"/>
        <v>490.9</v>
      </c>
      <c r="N101" s="148">
        <f t="shared" si="39"/>
        <v>490.9</v>
      </c>
      <c r="O101" s="131" t="str">
        <f t="shared" si="30"/>
        <v/>
      </c>
      <c r="P101" s="131">
        <f t="shared" si="45"/>
        <v>490.9</v>
      </c>
      <c r="Q101" s="131" t="str">
        <f t="shared" si="46"/>
        <v/>
      </c>
      <c r="R101" s="127" t="str">
        <f t="shared" si="47"/>
        <v/>
      </c>
      <c r="S101" s="60" t="str">
        <f t="shared" si="40"/>
        <v/>
      </c>
      <c r="T101" s="228">
        <f>IF(L101="","",VLOOKUP(L101,classifications!C:K,9,FALSE))</f>
        <v>0</v>
      </c>
      <c r="U101" s="235" t="str">
        <f t="shared" si="31"/>
        <v/>
      </c>
      <c r="V101" s="236" t="str">
        <f>IF(U101="","",IF($I$8="A",(RANK(U101,U$11:U$355)+COUNTIF(U$11:U101,U101)-1),(RANK(U101,U$11:U$355,1)+COUNTIF(U$11:U101,U101)-1)))</f>
        <v/>
      </c>
      <c r="W101" s="237"/>
      <c r="X101" s="61" t="str">
        <f>IF(L101="","",VLOOKUP($L101,classifications!$C:$J,6,FALSE))</f>
        <v>Urban with Significant Rural (rural including hub towns 26-49%)</v>
      </c>
      <c r="Y101" s="49" t="str">
        <f t="shared" si="32"/>
        <v/>
      </c>
      <c r="Z101" s="57" t="str">
        <f>IF(Y101="","",IF(I$8="A",(RANK(Y101,Y$11:Y$355,1)+COUNTIF(Y$11:Y101,Y101)-1),(RANK(Y101,Y$11:Y$355)+COUNTIF(Y$11:Y101,Y101)-1)))</f>
        <v/>
      </c>
      <c r="AA101" s="242" t="str">
        <f>IF(L101="","",VLOOKUP($L101,classifications!C:I,7,FALSE))</f>
        <v>Significant Rural</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Lancashire</v>
      </c>
      <c r="AJ101" s="62" t="str">
        <f t="shared" si="33"/>
        <v/>
      </c>
      <c r="AK101" s="57" t="str">
        <f>IF(AJ101="","",IF(I$8="A",(RANK(AJ101,AJ$11:AJ$355,1)+COUNTIF(AJ$11:AJ101,AJ101)-1),(RANK(AJ101,AJ$11:AJ$355)+COUNTIF(AJ$11:AJ101,AJ101)-1)))</f>
        <v/>
      </c>
      <c r="AL101" s="52" t="str">
        <f t="shared" si="42"/>
        <v/>
      </c>
      <c r="AM101" s="31" t="str">
        <f t="shared" si="34"/>
        <v/>
      </c>
      <c r="AN101" s="31" t="str">
        <f t="shared" si="35"/>
        <v/>
      </c>
      <c r="AP101" s="61" t="str">
        <f>IF(L101="","",VLOOKUP($L101,classifications!$C:$E,3,FALSE))</f>
        <v>North West</v>
      </c>
      <c r="AQ101" s="62">
        <f t="shared" si="43"/>
        <v>490.9</v>
      </c>
      <c r="AR101" s="57">
        <f>IF(AQ101="","",IF(I$8="A",(RANK(AQ101,AQ$11:AQ$355,1)+COUNTIF(AQ$11:AQ101,AQ101)-1),(RANK(AQ101,AQ$11:AQ$355)+COUNTIF(AQ$11:AQ101,AQ101)-1)))</f>
        <v>5</v>
      </c>
      <c r="AS101" s="52" t="str">
        <f t="shared" si="44"/>
        <v/>
      </c>
      <c r="AT101" s="57" t="str">
        <f t="shared" si="36"/>
        <v/>
      </c>
      <c r="AU101" s="62" t="str">
        <f t="shared" si="37"/>
        <v/>
      </c>
      <c r="AX101" s="44">
        <f>HLOOKUP($AX$9&amp;$AX$10,Data!$A$1:$ZZ$2000,(MATCH($C101,Data!$A$1:$A$2000,0)),FALSE)</f>
        <v>503.4</v>
      </c>
      <c r="AY101" s="156"/>
      <c r="AZ101" s="44"/>
    </row>
    <row r="102" spans="1:52">
      <c r="A102" s="84" t="str">
        <f>$D$1&amp;92</f>
        <v>SD92</v>
      </c>
      <c r="B102" s="85">
        <f>IF(ISERROR(VLOOKUP(A102,classifications!A:C,3,FALSE)),0,VLOOKUP(A102,classifications!A:C,3,FALSE))</f>
        <v>0</v>
      </c>
      <c r="C102" s="31" t="s">
        <v>58</v>
      </c>
      <c r="D102" s="49" t="str">
        <f>VLOOKUP($C102,classifications!$C:$J,4,FALSE)</f>
        <v>SD</v>
      </c>
      <c r="E102" s="49">
        <f>VLOOKUP(C102,classifications!C:K,9,FALSE)</f>
        <v>0</v>
      </c>
      <c r="F102" s="59">
        <f t="shared" si="26"/>
        <v>425</v>
      </c>
      <c r="G102" s="105"/>
      <c r="H102" s="60">
        <f t="shared" si="27"/>
        <v>425</v>
      </c>
      <c r="I102" s="112">
        <f>IF(H102="","",IF($I$8="A",(RANK(H102,H$11:H$355,1)+COUNTIF(H$11:H102,H102)-1),(RANK(H102,H$11:H$355)+COUNTIF(H$11:H102,H102)-1)))</f>
        <v>34</v>
      </c>
      <c r="J102" s="58"/>
      <c r="K102" s="51">
        <f t="shared" si="38"/>
        <v>92</v>
      </c>
      <c r="L102" s="59" t="str">
        <f t="shared" si="28"/>
        <v>South Lakeland</v>
      </c>
      <c r="M102" s="153">
        <f t="shared" si="29"/>
        <v>491.5</v>
      </c>
      <c r="N102" s="148">
        <f t="shared" si="39"/>
        <v>491.5</v>
      </c>
      <c r="O102" s="131" t="str">
        <f t="shared" si="30"/>
        <v/>
      </c>
      <c r="P102" s="131" t="str">
        <f t="shared" si="45"/>
        <v/>
      </c>
      <c r="Q102" s="131">
        <f t="shared" si="46"/>
        <v>491.5</v>
      </c>
      <c r="R102" s="127" t="str">
        <f t="shared" si="47"/>
        <v/>
      </c>
      <c r="S102" s="60" t="str">
        <f t="shared" si="40"/>
        <v/>
      </c>
      <c r="T102" s="228" t="str">
        <f>IF(L102="","",VLOOKUP(L102,classifications!C:K,9,FALSE))</f>
        <v>Sparse</v>
      </c>
      <c r="U102" s="235">
        <f t="shared" si="31"/>
        <v>491.5</v>
      </c>
      <c r="V102" s="236">
        <f>IF(U102="","",IF($I$8="A",(RANK(U102,U$11:U$355)+COUNTIF(U$11:U102,U102)-1),(RANK(U102,U$11:U$355,1)+COUNTIF(U$11:U102,U102)-1)))</f>
        <v>25</v>
      </c>
      <c r="W102" s="237"/>
      <c r="X102" s="61" t="str">
        <f>IF(L102="","",VLOOKUP($L102,classifications!$C:$J,6,FALSE))</f>
        <v xml:space="preserve">Mainly Rural (rural including hub towns &gt;=80%) </v>
      </c>
      <c r="Y102" s="49">
        <f t="shared" si="32"/>
        <v>491.5</v>
      </c>
      <c r="Z102" s="57">
        <f>IF(Y102="","",IF(I$8="A",(RANK(Y102,Y$11:Y$355,1)+COUNTIF(Y$11:Y102,Y102)-1),(RANK(Y102,Y$11:Y$355)+COUNTIF(Y$11:Y102,Y102)-1)))</f>
        <v>24</v>
      </c>
      <c r="AA102" s="242" t="str">
        <f>IF(L102="","",VLOOKUP($L102,classifications!C:I,7,FALSE))</f>
        <v>Predominantly Rural</v>
      </c>
      <c r="AB102" s="236">
        <f t="shared" si="41"/>
        <v>491.5</v>
      </c>
      <c r="AC102" s="236">
        <f>IF(AB102="","",IF($I$8="A",(RANK(AB102,AB$11:AB$355)+COUNTIF(AB$11:AB102,AB102)-1),(RANK(AB102,AB$11:AB$355,1)+COUNTIF(AB$11:AB102,AB102)-1)))</f>
        <v>30</v>
      </c>
      <c r="AD102" s="236"/>
      <c r="AE102" s="51" t="str">
        <f t="shared" si="48"/>
        <v/>
      </c>
      <c r="AG102" s="143"/>
      <c r="AH102" s="52"/>
      <c r="AI102" s="61" t="str">
        <f>IF(L102="","",VLOOKUP($L102,classifications!$C:$J,8,FALSE))</f>
        <v>Cumbria</v>
      </c>
      <c r="AJ102" s="62">
        <f t="shared" si="33"/>
        <v>491.5</v>
      </c>
      <c r="AK102" s="57">
        <f>IF(AJ102="","",IF(I$8="A",(RANK(AJ102,AJ$11:AJ$355,1)+COUNTIF(AJ$11:AJ102,AJ102)-1),(RANK(AJ102,AJ$11:AJ$355)+COUNTIF(AJ$11:AJ102,AJ102)-1)))</f>
        <v>2</v>
      </c>
      <c r="AL102" s="52" t="str">
        <f t="shared" si="42"/>
        <v/>
      </c>
      <c r="AM102" s="31" t="str">
        <f t="shared" si="34"/>
        <v/>
      </c>
      <c r="AN102" s="31" t="str">
        <f t="shared" si="35"/>
        <v/>
      </c>
      <c r="AP102" s="61" t="str">
        <f>IF(L102="","",VLOOKUP($L102,classifications!$C:$E,3,FALSE))</f>
        <v>North West</v>
      </c>
      <c r="AQ102" s="62">
        <f t="shared" si="43"/>
        <v>491.5</v>
      </c>
      <c r="AR102" s="57">
        <f>IF(AQ102="","",IF(I$8="A",(RANK(AQ102,AQ$11:AQ$355,1)+COUNTIF(AQ$11:AQ102,AQ102)-1),(RANK(AQ102,AQ$11:AQ$355)+COUNTIF(AQ$11:AQ102,AQ102)-1)))</f>
        <v>6</v>
      </c>
      <c r="AS102" s="52" t="str">
        <f t="shared" si="44"/>
        <v/>
      </c>
      <c r="AT102" s="57" t="str">
        <f t="shared" si="36"/>
        <v/>
      </c>
      <c r="AU102" s="62" t="str">
        <f t="shared" si="37"/>
        <v/>
      </c>
      <c r="AX102" s="44">
        <f>HLOOKUP($AX$9&amp;$AX$10,Data!$A$1:$ZZ$2000,(MATCH($C102,Data!$A$1:$A$2000,0)),FALSE)</f>
        <v>425</v>
      </c>
      <c r="AY102" s="156"/>
      <c r="AZ102" s="44"/>
    </row>
    <row r="103" spans="1:52">
      <c r="A103" s="84" t="str">
        <f>$D$1&amp;93</f>
        <v>SD93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450.7</v>
      </c>
      <c r="G103" s="105"/>
      <c r="H103" s="60" t="str">
        <f t="shared" si="27"/>
        <v/>
      </c>
      <c r="I103" s="112" t="str">
        <f>IF(H103="","",IF($I$8="A",(RANK(H103,H$11:H$355,1)+COUNTIF(H$11:H103,H103)-1),(RANK(H103,H$11:H$355)+COUNTIF(H$11:H103,H103)-1)))</f>
        <v/>
      </c>
      <c r="J103" s="58"/>
      <c r="K103" s="51">
        <f t="shared" si="38"/>
        <v>93</v>
      </c>
      <c r="L103" s="59" t="str">
        <f t="shared" si="28"/>
        <v>Castle Point</v>
      </c>
      <c r="M103" s="153">
        <f t="shared" si="29"/>
        <v>493.4</v>
      </c>
      <c r="N103" s="148">
        <f t="shared" si="39"/>
        <v>493.4</v>
      </c>
      <c r="O103" s="131" t="str">
        <f t="shared" si="30"/>
        <v/>
      </c>
      <c r="P103" s="131" t="str">
        <f t="shared" si="45"/>
        <v/>
      </c>
      <c r="Q103" s="131">
        <f t="shared" si="46"/>
        <v>493.4</v>
      </c>
      <c r="R103" s="127" t="str">
        <f t="shared" si="47"/>
        <v/>
      </c>
      <c r="S103" s="60" t="str">
        <f t="shared" si="40"/>
        <v/>
      </c>
      <c r="T103" s="228">
        <f>IF(L103="","",VLOOKUP(L103,classifications!C:K,9,FALSE))</f>
        <v>0</v>
      </c>
      <c r="U103" s="235" t="str">
        <f t="shared" si="31"/>
        <v/>
      </c>
      <c r="V103" s="236" t="str">
        <f>IF(U103="","",IF($I$8="A",(RANK(U103,U$11:U$355)+COUNTIF(U$11:U103,U103)-1),(RANK(U103,U$11:U$355,1)+COUNTIF(U$11:U103,U103)-1)))</f>
        <v/>
      </c>
      <c r="W103" s="237"/>
      <c r="X103" s="61" t="str">
        <f>IF(L103="","",VLOOKUP($L103,classifications!$C:$J,6,FALSE))</f>
        <v>Urban with City and Town</v>
      </c>
      <c r="Y103" s="49" t="str">
        <f t="shared" si="32"/>
        <v/>
      </c>
      <c r="Z103" s="57" t="str">
        <f>IF(Y103="","",IF(I$8="A",(RANK(Y103,Y$11:Y$355,1)+COUNTIF(Y$11:Y103,Y103)-1),(RANK(Y103,Y$11:Y$355)+COUNTIF(Y$11:Y103,Y103)-1)))</f>
        <v/>
      </c>
      <c r="AA103" s="242" t="str">
        <f>IF(L103="","",VLOOKUP($L103,classifications!C:I,7,FALSE))</f>
        <v>Predominantly Urban</v>
      </c>
      <c r="AB103" s="236" t="str">
        <f t="shared" si="41"/>
        <v/>
      </c>
      <c r="AC103" s="236" t="str">
        <f>IF(AB103="","",IF($I$8="A",(RANK(AB103,AB$11:AB$355)+COUNTIF(AB$11:AB103,AB103)-1),(RANK(AB103,AB$11:AB$355,1)+COUNTIF(AB$11:AB103,AB103)-1)))</f>
        <v/>
      </c>
      <c r="AD103" s="236"/>
      <c r="AE103" s="51" t="str">
        <f t="shared" si="48"/>
        <v/>
      </c>
      <c r="AG103" s="143"/>
      <c r="AH103" s="52"/>
      <c r="AI103" s="61" t="str">
        <f>IF(L103="","",VLOOKUP($L103,classifications!$C:$J,8,FALSE))</f>
        <v>Essex</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East of England</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450.7</v>
      </c>
      <c r="AY103" s="156"/>
      <c r="AZ103" s="44"/>
    </row>
    <row r="104" spans="1:52">
      <c r="A104" s="84" t="str">
        <f>$D$1&amp;94</f>
        <v>SD94</v>
      </c>
      <c r="B104" s="85">
        <f>IF(ISERROR(VLOOKUP(A104,classifications!A:C,3,FALSE)),0,VLOOKUP(A104,classifications!A:C,3,FALSE))</f>
        <v>0</v>
      </c>
      <c r="C104" s="31" t="s">
        <v>59</v>
      </c>
      <c r="D104" s="49" t="str">
        <f>VLOOKUP($C104,classifications!$C:$J,4,FALSE)</f>
        <v>SD</v>
      </c>
      <c r="E104" s="49">
        <f>VLOOKUP(C104,classifications!C:K,9,FALSE)</f>
        <v>0</v>
      </c>
      <c r="F104" s="59">
        <f t="shared" si="26"/>
        <v>522.5</v>
      </c>
      <c r="G104" s="105"/>
      <c r="H104" s="60">
        <f t="shared" si="27"/>
        <v>522.5</v>
      </c>
      <c r="I104" s="112">
        <f>IF(H104="","",IF($I$8="A",(RANK(H104,H$11:H$355,1)+COUNTIF(H$11:H104,H104)-1),(RANK(H104,H$11:H$355)+COUNTIF(H$11:H104,H104)-1)))</f>
        <v>118</v>
      </c>
      <c r="J104" s="58"/>
      <c r="K104" s="51">
        <f t="shared" si="38"/>
        <v>94</v>
      </c>
      <c r="L104" s="59" t="str">
        <f t="shared" si="28"/>
        <v>Charnwood</v>
      </c>
      <c r="M104" s="153">
        <f t="shared" si="29"/>
        <v>495.4</v>
      </c>
      <c r="N104" s="148">
        <f t="shared" si="39"/>
        <v>495.4</v>
      </c>
      <c r="O104" s="131" t="str">
        <f t="shared" si="30"/>
        <v/>
      </c>
      <c r="P104" s="131" t="str">
        <f t="shared" si="45"/>
        <v/>
      </c>
      <c r="Q104" s="131">
        <f t="shared" si="46"/>
        <v>495.4</v>
      </c>
      <c r="R104" s="127" t="str">
        <f t="shared" si="47"/>
        <v/>
      </c>
      <c r="S104" s="60" t="str">
        <f t="shared" si="40"/>
        <v/>
      </c>
      <c r="T104" s="228">
        <f>IF(L104="","",VLOOKUP(L104,classifications!C:K,9,FALSE))</f>
        <v>0</v>
      </c>
      <c r="U104" s="235" t="str">
        <f t="shared" si="31"/>
        <v/>
      </c>
      <c r="V104" s="236" t="str">
        <f>IF(U104="","",IF($I$8="A",(RANK(U104,U$11:U$355)+COUNTIF(U$11:U104,U104)-1),(RANK(U104,U$11:U$355,1)+COUNTIF(U$11:U104,U104)-1)))</f>
        <v/>
      </c>
      <c r="W104" s="237"/>
      <c r="X104" s="61" t="str">
        <f>IF(L104="","",VLOOKUP($L104,classifications!$C:$J,6,FALSE))</f>
        <v>Urban with City and Town</v>
      </c>
      <c r="Y104" s="49" t="str">
        <f t="shared" si="32"/>
        <v/>
      </c>
      <c r="Z104" s="57" t="str">
        <f>IF(Y104="","",IF(I$8="A",(RANK(Y104,Y$11:Y$355,1)+COUNTIF(Y$11:Y104,Y104)-1),(RANK(Y104,Y$11:Y$355)+COUNTIF(Y$11:Y104,Y104)-1)))</f>
        <v/>
      </c>
      <c r="AA104" s="242" t="str">
        <f>IF(L104="","",VLOOKUP($L104,classifications!C:I,7,FALSE))</f>
        <v>Predominantly Urban</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Leicestershire</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East Midlands</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522.5</v>
      </c>
      <c r="AY104" s="156"/>
      <c r="AZ104" s="44"/>
    </row>
    <row r="105" spans="1:52">
      <c r="A105" s="84" t="str">
        <f>$D$1&amp;95</f>
        <v>SD95</v>
      </c>
      <c r="B105" s="85">
        <f>IF(ISERROR(VLOOKUP(A105,classifications!A:C,3,FALSE)),0,VLOOKUP(A105,classifications!A:C,3,FALSE))</f>
        <v>0</v>
      </c>
      <c r="C105" s="31" t="s">
        <v>310</v>
      </c>
      <c r="D105" s="49" t="str">
        <f>VLOOKUP($C105,classifications!$C:$J,4,FALSE)</f>
        <v>SC</v>
      </c>
      <c r="E105" s="49">
        <f>VLOOKUP(C105,classifications!C:K,9,FALSE)</f>
        <v>0</v>
      </c>
      <c r="F105" s="59">
        <f t="shared" si="26"/>
        <v>562.70000000000005</v>
      </c>
      <c r="G105" s="105"/>
      <c r="H105" s="60" t="str">
        <f t="shared" si="27"/>
        <v/>
      </c>
      <c r="I105" s="112" t="str">
        <f>IF(H105="","",IF($I$8="A",(RANK(H105,H$11:H$355,1)+COUNTIF(H$11:H105,H105)-1),(RANK(H105,H$11:H$355)+COUNTIF(H$11:H105,H105)-1)))</f>
        <v/>
      </c>
      <c r="J105" s="58"/>
      <c r="K105" s="51">
        <f t="shared" si="38"/>
        <v>95</v>
      </c>
      <c r="L105" s="59" t="str">
        <f t="shared" si="28"/>
        <v>Newcastle-under-Lyme</v>
      </c>
      <c r="M105" s="153">
        <f t="shared" si="29"/>
        <v>495.7</v>
      </c>
      <c r="N105" s="148">
        <f t="shared" si="39"/>
        <v>495.7</v>
      </c>
      <c r="O105" s="131" t="str">
        <f t="shared" si="30"/>
        <v/>
      </c>
      <c r="P105" s="131" t="str">
        <f t="shared" si="45"/>
        <v/>
      </c>
      <c r="Q105" s="131">
        <f t="shared" si="46"/>
        <v>495.7</v>
      </c>
      <c r="R105" s="127" t="str">
        <f t="shared" si="47"/>
        <v/>
      </c>
      <c r="S105" s="60" t="str">
        <f t="shared" si="40"/>
        <v/>
      </c>
      <c r="T105" s="228">
        <f>IF(L105="","",VLOOKUP(L105,classifications!C:K,9,FALSE))</f>
        <v>0</v>
      </c>
      <c r="U105" s="235" t="str">
        <f t="shared" si="31"/>
        <v/>
      </c>
      <c r="V105" s="236" t="str">
        <f>IF(U105="","",IF($I$8="A",(RANK(U105,U$11:U$355)+COUNTIF(U$11:U105,U105)-1),(RANK(U105,U$11:U$355,1)+COUNTIF(U$11:U105,U105)-1)))</f>
        <v/>
      </c>
      <c r="W105" s="237"/>
      <c r="X105" s="61" t="str">
        <f>IF(L105="","",VLOOKUP($L105,classifications!$C:$J,6,FALSE))</f>
        <v>Urban with City and Town</v>
      </c>
      <c r="Y105" s="49" t="str">
        <f t="shared" si="32"/>
        <v/>
      </c>
      <c r="Z105" s="57" t="str">
        <f>IF(Y105="","",IF(I$8="A",(RANK(Y105,Y$11:Y$355,1)+COUNTIF(Y$11:Y105,Y105)-1),(RANK(Y105,Y$11:Y$355)+COUNTIF(Y$11:Y105,Y105)-1)))</f>
        <v/>
      </c>
      <c r="AA105" s="242" t="str">
        <f>IF(L105="","",VLOOKUP($L105,classifications!C:I,7,FALSE))</f>
        <v>Predominantly Urban</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Staffordshire</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West Midlands</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562.70000000000005</v>
      </c>
      <c r="AY105" s="156"/>
      <c r="AZ105" s="44"/>
    </row>
    <row r="106" spans="1:52">
      <c r="A106" s="84" t="str">
        <f>$D$1&amp;96</f>
        <v>SD96</v>
      </c>
      <c r="B106" s="85">
        <f>IF(ISERROR(VLOOKUP(A106,classifications!A:C,3,FALSE)),0,VLOOKUP(A106,classifications!A:C,3,FALSE))</f>
        <v>0</v>
      </c>
      <c r="C106" s="31" t="s">
        <v>60</v>
      </c>
      <c r="D106" s="49" t="str">
        <f>VLOOKUP($C106,classifications!$C:$J,4,FALSE)</f>
        <v>SD</v>
      </c>
      <c r="E106" s="49">
        <f>VLOOKUP(C106,classifications!C:K,9,FALSE)</f>
        <v>0</v>
      </c>
      <c r="F106" s="59">
        <f t="shared" si="26"/>
        <v>501.5</v>
      </c>
      <c r="G106" s="105"/>
      <c r="H106" s="60">
        <f t="shared" si="27"/>
        <v>501.5</v>
      </c>
      <c r="I106" s="112">
        <f>IF(H106="","",IF($I$8="A",(RANK(H106,H$11:H$355,1)+COUNTIF(H$11:H106,H106)-1),(RANK(H106,H$11:H$355)+COUNTIF(H$11:H106,H106)-1)))</f>
        <v>99</v>
      </c>
      <c r="J106" s="58"/>
      <c r="K106" s="51">
        <f t="shared" si="38"/>
        <v>96</v>
      </c>
      <c r="L106" s="59" t="str">
        <f t="shared" si="28"/>
        <v>Hart</v>
      </c>
      <c r="M106" s="153">
        <f t="shared" si="29"/>
        <v>496.1</v>
      </c>
      <c r="N106" s="148">
        <f t="shared" si="39"/>
        <v>496.1</v>
      </c>
      <c r="O106" s="131" t="str">
        <f t="shared" si="30"/>
        <v/>
      </c>
      <c r="P106" s="131" t="str">
        <f t="shared" si="45"/>
        <v/>
      </c>
      <c r="Q106" s="131">
        <f t="shared" si="46"/>
        <v>496.1</v>
      </c>
      <c r="R106" s="127" t="str">
        <f t="shared" si="47"/>
        <v/>
      </c>
      <c r="S106" s="60" t="str">
        <f t="shared" si="40"/>
        <v/>
      </c>
      <c r="T106" s="228">
        <f>IF(L106="","",VLOOKUP(L106,classifications!C:K,9,FALSE))</f>
        <v>0</v>
      </c>
      <c r="U106" s="235" t="str">
        <f t="shared" si="31"/>
        <v/>
      </c>
      <c r="V106" s="236" t="str">
        <f>IF(U106="","",IF($I$8="A",(RANK(U106,U$11:U$355)+COUNTIF(U$11:U106,U106)-1),(RANK(U106,U$11:U$355,1)+COUNTIF(U$11:U106,U106)-1)))</f>
        <v/>
      </c>
      <c r="W106" s="237"/>
      <c r="X106" s="61" t="str">
        <f>IF(L106="","",VLOOKUP($L106,classifications!$C:$J,6,FALSE))</f>
        <v>Urban with Significant Rural (rural including hub towns 26-49%)</v>
      </c>
      <c r="Y106" s="49" t="str">
        <f t="shared" si="32"/>
        <v/>
      </c>
      <c r="Z106" s="57" t="str">
        <f>IF(Y106="","",IF(I$8="A",(RANK(Y106,Y$11:Y$355,1)+COUNTIF(Y$11:Y106,Y106)-1),(RANK(Y106,Y$11:Y$355)+COUNTIF(Y$11:Y106,Y106)-1)))</f>
        <v/>
      </c>
      <c r="AA106" s="242" t="str">
        <f>IF(L106="","",VLOOKUP($L106,classifications!C:I,7,FALSE))</f>
        <v>Significant Rural</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Hampshire</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South East</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f>HLOOKUP($AX$9&amp;$AX$10,Data!$A$1:$ZZ$2000,(MATCH($C106,Data!$A$1:$A$2000,0)),FALSE)</f>
        <v>501.5</v>
      </c>
      <c r="AY106" s="156"/>
      <c r="AZ106" s="44"/>
    </row>
    <row r="107" spans="1:52">
      <c r="A107" s="84" t="str">
        <f>$D$1&amp;97</f>
        <v>SD97</v>
      </c>
      <c r="B107" s="85">
        <f>IF(ISERROR(VLOOKUP(A107,classifications!A:C,3,FALSE)),0,VLOOKUP(A107,classifications!A:C,3,FALSE))</f>
        <v>0</v>
      </c>
      <c r="C107" s="31" t="s">
        <v>61</v>
      </c>
      <c r="D107" s="49" t="str">
        <f>VLOOKUP($C107,classifications!$C:$J,4,FALSE)</f>
        <v>SD</v>
      </c>
      <c r="E107" s="49">
        <f>VLOOKUP(C107,classifications!C:K,9,FALSE)</f>
        <v>0</v>
      </c>
      <c r="F107" s="59">
        <f t="shared" si="26"/>
        <v>487.6</v>
      </c>
      <c r="G107" s="105"/>
      <c r="H107" s="60">
        <f t="shared" si="27"/>
        <v>487.6</v>
      </c>
      <c r="I107" s="112">
        <f>IF(H107="","",IF($I$8="A",(RANK(H107,H$11:H$355,1)+COUNTIF(H$11:H107,H107)-1),(RANK(H107,H$11:H$355)+COUNTIF(H$11:H107,H107)-1)))</f>
        <v>88</v>
      </c>
      <c r="J107" s="58"/>
      <c r="K107" s="51">
        <f t="shared" si="38"/>
        <v>97</v>
      </c>
      <c r="L107" s="59" t="str">
        <f t="shared" si="28"/>
        <v>East Hampshire</v>
      </c>
      <c r="M107" s="153">
        <f t="shared" si="29"/>
        <v>497.2</v>
      </c>
      <c r="N107" s="148">
        <f t="shared" si="39"/>
        <v>497.2</v>
      </c>
      <c r="O107" s="131" t="str">
        <f t="shared" si="30"/>
        <v/>
      </c>
      <c r="P107" s="131" t="str">
        <f t="shared" si="45"/>
        <v/>
      </c>
      <c r="Q107" s="131">
        <f t="shared" si="46"/>
        <v>497.2</v>
      </c>
      <c r="R107" s="127" t="str">
        <f t="shared" si="47"/>
        <v/>
      </c>
      <c r="S107" s="60" t="str">
        <f t="shared" si="40"/>
        <v/>
      </c>
      <c r="T107" s="228">
        <f>IF(L107="","",VLOOKUP(L107,classifications!C:K,9,FALSE))</f>
        <v>0</v>
      </c>
      <c r="U107" s="235" t="str">
        <f t="shared" si="31"/>
        <v/>
      </c>
      <c r="V107" s="236" t="str">
        <f>IF(U107="","",IF($I$8="A",(RANK(U107,U$11:U$355)+COUNTIF(U$11:U107,U107)-1),(RANK(U107,U$11:U$355,1)+COUNTIF(U$11:U107,U107)-1)))</f>
        <v/>
      </c>
      <c r="W107" s="237"/>
      <c r="X107" s="61" t="str">
        <f>IF(L107="","",VLOOKUP($L107,classifications!$C:$J,6,FALSE))</f>
        <v xml:space="preserve">Mainly Rural (rural including hub towns &gt;=80%) </v>
      </c>
      <c r="Y107" s="49">
        <f t="shared" si="32"/>
        <v>497.2</v>
      </c>
      <c r="Z107" s="57">
        <f>IF(Y107="","",IF(I$8="A",(RANK(Y107,Y$11:Y$355,1)+COUNTIF(Y$11:Y107,Y107)-1),(RANK(Y107,Y$11:Y$355)+COUNTIF(Y$11:Y107,Y107)-1)))</f>
        <v>25</v>
      </c>
      <c r="AA107" s="242" t="str">
        <f>IF(L107="","",VLOOKUP($L107,classifications!C:I,7,FALSE))</f>
        <v>Predominantly Rural</v>
      </c>
      <c r="AB107" s="236">
        <f t="shared" si="41"/>
        <v>497.2</v>
      </c>
      <c r="AC107" s="236">
        <f>IF(AB107="","",IF($I$8="A",(RANK(AB107,AB$11:AB$355)+COUNTIF(AB$11:AB107,AB107)-1),(RANK(AB107,AB$11:AB$355,1)+COUNTIF(AB$11:AB107,AB107)-1)))</f>
        <v>29</v>
      </c>
      <c r="AD107" s="236"/>
      <c r="AE107" s="51" t="str">
        <f t="shared" si="48"/>
        <v/>
      </c>
      <c r="AG107" s="143"/>
      <c r="AH107" s="52"/>
      <c r="AI107" s="61" t="str">
        <f>IF(L107="","",VLOOKUP($L107,classifications!$C:$J,8,FALSE))</f>
        <v>Hampshire</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South East</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487.6</v>
      </c>
      <c r="AY107" s="156"/>
      <c r="AZ107" s="44"/>
    </row>
    <row r="108" spans="1:52">
      <c r="A108" s="84" t="str">
        <f>$D$1&amp;98</f>
        <v>SD98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449</v>
      </c>
      <c r="G108" s="105"/>
      <c r="H108" s="60">
        <f t="shared" si="27"/>
        <v>449</v>
      </c>
      <c r="I108" s="112">
        <f>IF(H108="","",IF($I$8="A",(RANK(H108,H$11:H$355,1)+COUNTIF(H$11:H108,H108)-1),(RANK(H108,H$11:H$355)+COUNTIF(H$11:H108,H108)-1)))</f>
        <v>57</v>
      </c>
      <c r="J108" s="58"/>
      <c r="K108" s="51">
        <f t="shared" si="38"/>
        <v>98</v>
      </c>
      <c r="L108" s="59" t="str">
        <f t="shared" si="28"/>
        <v>Worcester</v>
      </c>
      <c r="M108" s="153">
        <f t="shared" si="29"/>
        <v>497.3</v>
      </c>
      <c r="N108" s="148">
        <f t="shared" si="39"/>
        <v>497.3</v>
      </c>
      <c r="O108" s="131" t="str">
        <f t="shared" si="30"/>
        <v/>
      </c>
      <c r="P108" s="131" t="str">
        <f t="shared" si="45"/>
        <v/>
      </c>
      <c r="Q108" s="131">
        <f t="shared" si="46"/>
        <v>497.3</v>
      </c>
      <c r="R108" s="127" t="str">
        <f t="shared" si="47"/>
        <v/>
      </c>
      <c r="S108" s="60" t="str">
        <f t="shared" si="40"/>
        <v/>
      </c>
      <c r="T108" s="228">
        <f>IF(L108="","",VLOOKUP(L108,classifications!C:K,9,FALSE))</f>
        <v>0</v>
      </c>
      <c r="U108" s="235" t="str">
        <f t="shared" si="31"/>
        <v/>
      </c>
      <c r="V108" s="236" t="str">
        <f>IF(U108="","",IF($I$8="A",(RANK(U108,U$11:U$355)+COUNTIF(U$11:U108,U108)-1),(RANK(U108,U$11:U$355,1)+COUNTIF(U$11:U108,U108)-1)))</f>
        <v/>
      </c>
      <c r="W108" s="237"/>
      <c r="X108" s="61" t="str">
        <f>IF(L108="","",VLOOKUP($L108,classifications!$C:$J,6,FALSE))</f>
        <v>Urban with City and Town</v>
      </c>
      <c r="Y108" s="49" t="str">
        <f t="shared" si="32"/>
        <v/>
      </c>
      <c r="Z108" s="57" t="str">
        <f>IF(Y108="","",IF(I$8="A",(RANK(Y108,Y$11:Y$355,1)+COUNTIF(Y$11:Y108,Y108)-1),(RANK(Y108,Y$11:Y$355)+COUNTIF(Y$11:Y108,Y108)-1)))</f>
        <v/>
      </c>
      <c r="AA108" s="242" t="str">
        <f>IF(L108="","",VLOOKUP($L108,classifications!C:I,7,FALSE))</f>
        <v>Predominantly Urban</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Worcestershire</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West Midlands</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f>HLOOKUP($AX$9&amp;$AX$10,Data!$A$1:$ZZ$2000,(MATCH($C108,Data!$A$1:$A$2000,0)),FALSE)</f>
        <v>449</v>
      </c>
      <c r="AY108" s="156"/>
      <c r="AZ108" s="44"/>
    </row>
    <row r="109" spans="1:52">
      <c r="A109" s="84" t="str">
        <f>$D$1&amp;99</f>
        <v>SD99</v>
      </c>
      <c r="B109" s="85">
        <f>IF(ISERROR(VLOOKUP(A109,classifications!A:C,3,FALSE)),0,VLOOKUP(A109,classifications!A:C,3,FALSE))</f>
        <v>0</v>
      </c>
      <c r="C109" s="31" t="s">
        <v>63</v>
      </c>
      <c r="D109" s="49" t="str">
        <f>VLOOKUP($C109,classifications!$C:$J,4,FALSE)</f>
        <v>SD</v>
      </c>
      <c r="E109" s="49">
        <f>VLOOKUP(C109,classifications!C:K,9,FALSE)</f>
        <v>0</v>
      </c>
      <c r="F109" s="59">
        <f t="shared" si="26"/>
        <v>469.1</v>
      </c>
      <c r="G109" s="105"/>
      <c r="H109" s="60">
        <f t="shared" si="27"/>
        <v>469.1</v>
      </c>
      <c r="I109" s="112">
        <f>IF(H109="","",IF($I$8="A",(RANK(H109,H$11:H$355,1)+COUNTIF(H$11:H109,H109)-1),(RANK(H109,H$11:H$355)+COUNTIF(H$11:H109,H109)-1)))</f>
        <v>73</v>
      </c>
      <c r="J109" s="58"/>
      <c r="K109" s="51">
        <f t="shared" si="38"/>
        <v>99</v>
      </c>
      <c r="L109" s="59" t="str">
        <f t="shared" si="28"/>
        <v>Eastbourne</v>
      </c>
      <c r="M109" s="153">
        <f t="shared" si="29"/>
        <v>501.5</v>
      </c>
      <c r="N109" s="148">
        <f t="shared" si="39"/>
        <v>501.5</v>
      </c>
      <c r="O109" s="131" t="str">
        <f t="shared" si="30"/>
        <v/>
      </c>
      <c r="P109" s="131" t="str">
        <f t="shared" si="45"/>
        <v/>
      </c>
      <c r="Q109" s="131">
        <f t="shared" si="46"/>
        <v>501.5</v>
      </c>
      <c r="R109" s="127" t="str">
        <f t="shared" si="47"/>
        <v/>
      </c>
      <c r="S109" s="60" t="str">
        <f t="shared" si="40"/>
        <v/>
      </c>
      <c r="T109" s="228">
        <f>IF(L109="","",VLOOKUP(L109,classifications!C:K,9,FALSE))</f>
        <v>0</v>
      </c>
      <c r="U109" s="235" t="str">
        <f t="shared" si="31"/>
        <v/>
      </c>
      <c r="V109" s="236" t="str">
        <f>IF(U109="","",IF($I$8="A",(RANK(U109,U$11:U$355)+COUNTIF(U$11:U109,U109)-1),(RANK(U109,U$11:U$355,1)+COUNTIF(U$11:U109,U109)-1)))</f>
        <v/>
      </c>
      <c r="W109" s="237"/>
      <c r="X109" s="61" t="str">
        <f>IF(L109="","",VLOOKUP($L109,classifications!$C:$J,6,FALSE))</f>
        <v>Urban with City and Town</v>
      </c>
      <c r="Y109" s="49" t="str">
        <f t="shared" si="32"/>
        <v/>
      </c>
      <c r="Z109" s="57" t="str">
        <f>IF(Y109="","",IF(I$8="A",(RANK(Y109,Y$11:Y$355,1)+COUNTIF(Y$11:Y109,Y109)-1),(RANK(Y109,Y$11:Y$355)+COUNTIF(Y$11:Y109,Y109)-1)))</f>
        <v/>
      </c>
      <c r="AA109" s="242" t="str">
        <f>IF(L109="","",VLOOKUP($L109,classifications!C:I,7,FALSE))</f>
        <v>Predominantly Urban</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East Sussex</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South East</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469.1</v>
      </c>
      <c r="AY109" s="156"/>
      <c r="AZ109" s="44"/>
    </row>
    <row r="110" spans="1:52">
      <c r="A110" s="84" t="str">
        <f>$D$1&amp;100</f>
        <v>SD100</v>
      </c>
      <c r="B110" s="85">
        <f>IF(ISERROR(VLOOKUP(A110,classifications!A:C,3,FALSE)),0,VLOOKUP(A110,classifications!A:C,3,FALSE))</f>
        <v>0</v>
      </c>
      <c r="C110" s="31" t="s">
        <v>203</v>
      </c>
      <c r="D110" s="49" t="str">
        <f>VLOOKUP($C110,classifications!$C:$J,4,FALSE)</f>
        <v>L</v>
      </c>
      <c r="E110" s="49">
        <f>VLOOKUP(C110,classifications!C:K,9,FALSE)</f>
        <v>0</v>
      </c>
      <c r="F110" s="59">
        <f t="shared" si="26"/>
        <v>548.6</v>
      </c>
      <c r="G110" s="105"/>
      <c r="H110" s="60" t="str">
        <f t="shared" si="27"/>
        <v/>
      </c>
      <c r="I110" s="112" t="str">
        <f>IF(H110="","",IF($I$8="A",(RANK(H110,H$11:H$355,1)+COUNTIF(H$11:H110,H110)-1),(RANK(H110,H$11:H$355)+COUNTIF(H$11:H110,H110)-1)))</f>
        <v/>
      </c>
      <c r="J110" s="58"/>
      <c r="K110" s="51">
        <f t="shared" si="38"/>
        <v>100</v>
      </c>
      <c r="L110" s="59" t="str">
        <f t="shared" si="28"/>
        <v>Mid Suffolk</v>
      </c>
      <c r="M110" s="153">
        <f t="shared" si="29"/>
        <v>502.2</v>
      </c>
      <c r="N110" s="148">
        <f t="shared" si="39"/>
        <v>502.2</v>
      </c>
      <c r="O110" s="131" t="str">
        <f t="shared" si="30"/>
        <v/>
      </c>
      <c r="P110" s="131" t="str">
        <f t="shared" si="45"/>
        <v/>
      </c>
      <c r="Q110" s="131">
        <f t="shared" si="46"/>
        <v>502.2</v>
      </c>
      <c r="R110" s="127" t="str">
        <f t="shared" si="47"/>
        <v/>
      </c>
      <c r="S110" s="60" t="str">
        <f t="shared" si="40"/>
        <v/>
      </c>
      <c r="T110" s="228" t="str">
        <f>IF(L110="","",VLOOKUP(L110,classifications!C:K,9,FALSE))</f>
        <v>Sparse</v>
      </c>
      <c r="U110" s="235">
        <f t="shared" si="31"/>
        <v>502.2</v>
      </c>
      <c r="V110" s="236">
        <f>IF(U110="","",IF($I$8="A",(RANK(U110,U$11:U$355)+COUNTIF(U$11:U110,U110)-1),(RANK(U110,U$11:U$355,1)+COUNTIF(U$11:U110,U110)-1)))</f>
        <v>24</v>
      </c>
      <c r="W110" s="237"/>
      <c r="X110" s="61" t="str">
        <f>IF(L110="","",VLOOKUP($L110,classifications!$C:$J,6,FALSE))</f>
        <v xml:space="preserve">Mainly Rural (rural including hub towns &gt;=80%) </v>
      </c>
      <c r="Y110" s="49">
        <f t="shared" si="32"/>
        <v>502.2</v>
      </c>
      <c r="Z110" s="57">
        <f>IF(Y110="","",IF(I$8="A",(RANK(Y110,Y$11:Y$355,1)+COUNTIF(Y$11:Y110,Y110)-1),(RANK(Y110,Y$11:Y$355)+COUNTIF(Y$11:Y110,Y110)-1)))</f>
        <v>26</v>
      </c>
      <c r="AA110" s="242" t="str">
        <f>IF(L110="","",VLOOKUP($L110,classifications!C:I,7,FALSE))</f>
        <v>Predominantly Rural</v>
      </c>
      <c r="AB110" s="236">
        <f t="shared" si="41"/>
        <v>502.2</v>
      </c>
      <c r="AC110" s="236">
        <f>IF(AB110="","",IF($I$8="A",(RANK(AB110,AB$11:AB$355)+COUNTIF(AB$11:AB110,AB110)-1),(RANK(AB110,AB$11:AB$355,1)+COUNTIF(AB$11:AB110,AB110)-1)))</f>
        <v>28</v>
      </c>
      <c r="AD110" s="236"/>
      <c r="AE110" s="51" t="str">
        <f t="shared" si="48"/>
        <v/>
      </c>
      <c r="AG110" s="143"/>
      <c r="AH110" s="52"/>
      <c r="AI110" s="61" t="str">
        <f>IF(L110="","",VLOOKUP($L110,classifications!$C:$J,8,FALSE))</f>
        <v>Suffolk</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East of England</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548.6</v>
      </c>
      <c r="AY110" s="156"/>
      <c r="AZ110" s="44"/>
    </row>
    <row r="111" spans="1:52">
      <c r="A111" s="84" t="str">
        <f>$D$1&amp;101</f>
        <v>SD101</v>
      </c>
      <c r="B111" s="85">
        <f>IF(ISERROR(VLOOKUP(A111,classifications!A:C,3,FALSE)),0,VLOOKUP(A111,classifications!A:C,3,FALSE))</f>
        <v>0</v>
      </c>
      <c r="C111" s="31" t="s">
        <v>64</v>
      </c>
      <c r="D111" s="49" t="str">
        <f>VLOOKUP($C111,classifications!$C:$J,4,FALSE)</f>
        <v>SD</v>
      </c>
      <c r="E111" s="49">
        <f>VLOOKUP(C111,classifications!C:K,9,FALSE)</f>
        <v>0</v>
      </c>
      <c r="F111" s="59">
        <f t="shared" si="26"/>
        <v>486.3</v>
      </c>
      <c r="G111" s="105"/>
      <c r="H111" s="60">
        <f t="shared" si="27"/>
        <v>486.3</v>
      </c>
      <c r="I111" s="112">
        <f>IF(H111="","",IF($I$8="A",(RANK(H111,H$11:H$355,1)+COUNTIF(H$11:H111,H111)-1),(RANK(H111,H$11:H$355)+COUNTIF(H$11:H111,H111)-1)))</f>
        <v>87</v>
      </c>
      <c r="J111" s="58"/>
      <c r="K111" s="51">
        <f t="shared" si="38"/>
        <v>101</v>
      </c>
      <c r="L111" s="59" t="str">
        <f t="shared" si="28"/>
        <v>Blaby</v>
      </c>
      <c r="M111" s="153">
        <f t="shared" si="29"/>
        <v>503.3</v>
      </c>
      <c r="N111" s="148">
        <f t="shared" si="39"/>
        <v>503.3</v>
      </c>
      <c r="O111" s="131" t="str">
        <f t="shared" si="30"/>
        <v/>
      </c>
      <c r="P111" s="131" t="str">
        <f t="shared" si="45"/>
        <v/>
      </c>
      <c r="Q111" s="131">
        <f t="shared" si="46"/>
        <v>503.3</v>
      </c>
      <c r="R111" s="127" t="str">
        <f t="shared" si="47"/>
        <v/>
      </c>
      <c r="S111" s="60" t="str">
        <f t="shared" si="40"/>
        <v/>
      </c>
      <c r="T111" s="228">
        <f>IF(L111="","",VLOOKUP(L111,classifications!C:K,9,FALSE))</f>
        <v>0</v>
      </c>
      <c r="U111" s="235" t="str">
        <f t="shared" si="31"/>
        <v/>
      </c>
      <c r="V111" s="236" t="str">
        <f>IF(U111="","",IF($I$8="A",(RANK(U111,U$11:U$355)+COUNTIF(U$11:U111,U111)-1),(RANK(U111,U$11:U$355,1)+COUNTIF(U$11:U111,U111)-1)))</f>
        <v/>
      </c>
      <c r="W111" s="237"/>
      <c r="X111" s="61" t="str">
        <f>IF(L111="","",VLOOKUP($L111,classifications!$C:$J,6,FALSE))</f>
        <v>Urban with City and Town</v>
      </c>
      <c r="Y111" s="49" t="str">
        <f t="shared" si="32"/>
        <v/>
      </c>
      <c r="Z111" s="57" t="str">
        <f>IF(Y111="","",IF(I$8="A",(RANK(Y111,Y$11:Y$355,1)+COUNTIF(Y$11:Y111,Y111)-1),(RANK(Y111,Y$11:Y$355)+COUNTIF(Y$11:Y111,Y111)-1)))</f>
        <v/>
      </c>
      <c r="AA111" s="242" t="str">
        <f>IF(L111="","",VLOOKUP($L111,classifications!C:I,7,FALSE))</f>
        <v>Predominantly Urban</v>
      </c>
      <c r="AB111" s="236" t="str">
        <f t="shared" si="41"/>
        <v/>
      </c>
      <c r="AC111" s="236" t="str">
        <f>IF(AB111="","",IF($I$8="A",(RANK(AB111,AB$11:AB$355)+COUNTIF(AB$11:AB111,AB111)-1),(RANK(AB111,AB$11:AB$355,1)+COUNTIF(AB$11:AB111,AB111)-1)))</f>
        <v/>
      </c>
      <c r="AD111" s="236"/>
      <c r="AE111" s="51" t="str">
        <f t="shared" si="48"/>
        <v/>
      </c>
      <c r="AG111" s="143"/>
      <c r="AH111" s="52"/>
      <c r="AI111" s="61" t="str">
        <f>IF(L111="","",VLOOKUP($L111,classifications!$C:$J,8,FALSE))</f>
        <v>Leicestershire</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East Midlands</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486.3</v>
      </c>
      <c r="AY111" s="156"/>
      <c r="AZ111" s="44"/>
    </row>
    <row r="112" spans="1:52">
      <c r="A112" s="84" t="str">
        <f>$D$1&amp;102</f>
        <v>SD102</v>
      </c>
      <c r="B112" s="85">
        <f>IF(ISERROR(VLOOKUP(A112,classifications!A:C,3,FALSE)),0,VLOOKUP(A112,classifications!A:C,3,FALSE))</f>
        <v>0</v>
      </c>
      <c r="C112" s="31" t="s">
        <v>343</v>
      </c>
      <c r="D112" s="49" t="str">
        <f>VLOOKUP($C112,classifications!$C:$J,4,FALSE)</f>
        <v>SD</v>
      </c>
      <c r="E112" s="49">
        <f>VLOOKUP(C112,classifications!C:K,9,FALSE)</f>
        <v>0</v>
      </c>
      <c r="F112" s="59">
        <f t="shared" si="26"/>
        <v>447</v>
      </c>
      <c r="G112" s="105"/>
      <c r="H112" s="60">
        <f t="shared" si="27"/>
        <v>447</v>
      </c>
      <c r="I112" s="112">
        <f>IF(H112="","",IF($I$8="A",(RANK(H112,H$11:H$355,1)+COUNTIF(H$11:H112,H112)-1),(RANK(H112,H$11:H$355)+COUNTIF(H$11:H112,H112)-1)))</f>
        <v>55</v>
      </c>
      <c r="J112" s="58"/>
      <c r="K112" s="51">
        <f t="shared" si="38"/>
        <v>102</v>
      </c>
      <c r="L112" s="59" t="str">
        <f t="shared" si="28"/>
        <v>East Lindsey</v>
      </c>
      <c r="M112" s="153">
        <f t="shared" si="29"/>
        <v>503.4</v>
      </c>
      <c r="N112" s="148">
        <f t="shared" si="39"/>
        <v>503.4</v>
      </c>
      <c r="O112" s="131" t="str">
        <f t="shared" si="30"/>
        <v/>
      </c>
      <c r="P112" s="131" t="str">
        <f t="shared" si="45"/>
        <v/>
      </c>
      <c r="Q112" s="131">
        <f t="shared" si="46"/>
        <v>503.4</v>
      </c>
      <c r="R112" s="127" t="str">
        <f t="shared" si="47"/>
        <v/>
      </c>
      <c r="S112" s="60" t="str">
        <f t="shared" si="40"/>
        <v/>
      </c>
      <c r="T112" s="228" t="str">
        <f>IF(L112="","",VLOOKUP(L112,classifications!C:K,9,FALSE))</f>
        <v>Sparse</v>
      </c>
      <c r="U112" s="235">
        <f t="shared" si="31"/>
        <v>503.4</v>
      </c>
      <c r="V112" s="236">
        <f>IF(U112="","",IF($I$8="A",(RANK(U112,U$11:U$355)+COUNTIF(U$11:U112,U112)-1),(RANK(U112,U$11:U$355,1)+COUNTIF(U$11:U112,U112)-1)))</f>
        <v>23</v>
      </c>
      <c r="W112" s="237"/>
      <c r="X112" s="61" t="str">
        <f>IF(L112="","",VLOOKUP($L112,classifications!$C:$J,6,FALSE))</f>
        <v xml:space="preserve">Mainly Rural (rural including hub towns &gt;=80%) </v>
      </c>
      <c r="Y112" s="49">
        <f t="shared" si="32"/>
        <v>503.4</v>
      </c>
      <c r="Z112" s="57">
        <f>IF(Y112="","",IF(I$8="A",(RANK(Y112,Y$11:Y$355,1)+COUNTIF(Y$11:Y112,Y112)-1),(RANK(Y112,Y$11:Y$355)+COUNTIF(Y$11:Y112,Y112)-1)))</f>
        <v>27</v>
      </c>
      <c r="AA112" s="242" t="str">
        <f>IF(L112="","",VLOOKUP($L112,classifications!C:I,7,FALSE))</f>
        <v>Predominantly Rural</v>
      </c>
      <c r="AB112" s="236">
        <f t="shared" si="41"/>
        <v>503.4</v>
      </c>
      <c r="AC112" s="236">
        <f>IF(AB112="","",IF($I$8="A",(RANK(AB112,AB$11:AB$355)+COUNTIF(AB$11:AB112,AB112)-1),(RANK(AB112,AB$11:AB$355,1)+COUNTIF(AB$11:AB112,AB112)-1)))</f>
        <v>27</v>
      </c>
      <c r="AD112" s="236"/>
      <c r="AE112" s="51" t="str">
        <f t="shared" si="48"/>
        <v/>
      </c>
      <c r="AG112" s="143"/>
      <c r="AH112" s="52"/>
      <c r="AI112" s="61" t="str">
        <f>IF(L112="","",VLOOKUP($L112,classifications!$C:$J,8,FALSE))</f>
        <v>Lincolnshire</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East Midlands</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447</v>
      </c>
      <c r="AY112" s="156"/>
      <c r="AZ112" s="44"/>
    </row>
    <row r="113" spans="1:52">
      <c r="A113" s="84" t="str">
        <f>$D$1&amp;103</f>
        <v>SD103</v>
      </c>
      <c r="B113" s="85">
        <f>IF(ISERROR(VLOOKUP(A113,classifications!A:C,3,FALSE)),0,VLOOKUP(A113,classifications!A:C,3,FALSE))</f>
        <v>0</v>
      </c>
      <c r="C113" s="31" t="s">
        <v>65</v>
      </c>
      <c r="D113" s="49" t="str">
        <f>VLOOKUP($C113,classifications!$C:$J,4,FALSE)</f>
        <v>SD</v>
      </c>
      <c r="E113" s="49">
        <f>VLOOKUP(C113,classifications!C:K,9,FALSE)</f>
        <v>0</v>
      </c>
      <c r="F113" s="59">
        <f t="shared" si="26"/>
        <v>541.29999999999995</v>
      </c>
      <c r="G113" s="105"/>
      <c r="H113" s="60">
        <f t="shared" si="27"/>
        <v>541.29999999999995</v>
      </c>
      <c r="I113" s="112">
        <f>IF(H113="","",IF($I$8="A",(RANK(H113,H$11:H$355,1)+COUNTIF(H$11:H113,H113)-1),(RANK(H113,H$11:H$355)+COUNTIF(H$11:H113,H113)-1)))</f>
        <v>141</v>
      </c>
      <c r="J113" s="58"/>
      <c r="K113" s="51">
        <f t="shared" si="38"/>
        <v>103</v>
      </c>
      <c r="L113" s="59" t="str">
        <f t="shared" si="28"/>
        <v>New Forest</v>
      </c>
      <c r="M113" s="153">
        <f t="shared" si="29"/>
        <v>504.7</v>
      </c>
      <c r="N113" s="148">
        <f t="shared" si="39"/>
        <v>504.7</v>
      </c>
      <c r="O113" s="131" t="str">
        <f t="shared" si="30"/>
        <v/>
      </c>
      <c r="P113" s="131" t="str">
        <f t="shared" si="45"/>
        <v/>
      </c>
      <c r="Q113" s="131">
        <f t="shared" si="46"/>
        <v>504.7</v>
      </c>
      <c r="R113" s="127" t="str">
        <f t="shared" si="47"/>
        <v/>
      </c>
      <c r="S113" s="60" t="str">
        <f t="shared" si="40"/>
        <v/>
      </c>
      <c r="T113" s="228" t="str">
        <f>IF(L113="","",VLOOKUP(L113,classifications!C:K,9,FALSE))</f>
        <v>Sparse</v>
      </c>
      <c r="U113" s="235">
        <f t="shared" si="31"/>
        <v>504.7</v>
      </c>
      <c r="V113" s="236">
        <f>IF(U113="","",IF($I$8="A",(RANK(U113,U$11:U$355)+COUNTIF(U$11:U113,U113)-1),(RANK(U113,U$11:U$355,1)+COUNTIF(U$11:U113,U113)-1)))</f>
        <v>22</v>
      </c>
      <c r="W113" s="237"/>
      <c r="X113" s="61" t="str">
        <f>IF(L113="","",VLOOKUP($L113,classifications!$C:$J,6,FALSE))</f>
        <v>Urban with Significant Rural (rural including hub towns 26-49%)</v>
      </c>
      <c r="Y113" s="49" t="str">
        <f t="shared" si="32"/>
        <v/>
      </c>
      <c r="Z113" s="57" t="str">
        <f>IF(Y113="","",IF(I$8="A",(RANK(Y113,Y$11:Y$355,1)+COUNTIF(Y$11:Y113,Y113)-1),(RANK(Y113,Y$11:Y$355)+COUNTIF(Y$11:Y113,Y113)-1)))</f>
        <v/>
      </c>
      <c r="AA113" s="242" t="str">
        <f>IF(L113="","",VLOOKUP($L113,classifications!C:I,7,FALSE))</f>
        <v>Significant Rural</v>
      </c>
      <c r="AB113" s="236" t="str">
        <f t="shared" si="41"/>
        <v/>
      </c>
      <c r="AC113" s="236" t="str">
        <f>IF(AB113="","",IF($I$8="A",(RANK(AB113,AB$11:AB$355)+COUNTIF(AB$11:AB113,AB113)-1),(RANK(AB113,AB$11:AB$355,1)+COUNTIF(AB$11:AB113,AB113)-1)))</f>
        <v/>
      </c>
      <c r="AD113" s="236"/>
      <c r="AE113" s="51" t="str">
        <f t="shared" si="48"/>
        <v/>
      </c>
      <c r="AG113" s="143"/>
      <c r="AH113" s="52"/>
      <c r="AI113" s="61" t="str">
        <f>IF(L113="","",VLOOKUP($L113,classifications!$C:$J,8,FALSE))</f>
        <v>Hampshire</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South East</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541.29999999999995</v>
      </c>
      <c r="AY113" s="156"/>
      <c r="AZ113" s="44"/>
    </row>
    <row r="114" spans="1:52">
      <c r="A114" s="84" t="str">
        <f>$D$1&amp;104</f>
        <v>SD104</v>
      </c>
      <c r="B114" s="85">
        <f>IF(ISERROR(VLOOKUP(A114,classifications!A:C,3,FALSE)),0,VLOOKUP(A114,classifications!A:C,3,FALSE))</f>
        <v>0</v>
      </c>
      <c r="C114" s="31" t="s">
        <v>311</v>
      </c>
      <c r="D114" s="49" t="str">
        <f>VLOOKUP($C114,classifications!$C:$J,4,FALSE)</f>
        <v>SC</v>
      </c>
      <c r="E114" s="49">
        <f>VLOOKUP(C114,classifications!C:K,9,FALSE)</f>
        <v>0</v>
      </c>
      <c r="F114" s="59">
        <f t="shared" si="26"/>
        <v>524.79999999999995</v>
      </c>
      <c r="G114" s="105"/>
      <c r="H114" s="60" t="str">
        <f t="shared" si="27"/>
        <v/>
      </c>
      <c r="I114" s="112" t="str">
        <f>IF(H114="","",IF($I$8="A",(RANK(H114,H$11:H$355,1)+COUNTIF(H$11:H114,H114)-1),(RANK(H114,H$11:H$355)+COUNTIF(H$11:H114,H114)-1)))</f>
        <v/>
      </c>
      <c r="J114" s="58"/>
      <c r="K114" s="51">
        <f t="shared" si="38"/>
        <v>104</v>
      </c>
      <c r="L114" s="59" t="str">
        <f t="shared" si="28"/>
        <v>South Ribble</v>
      </c>
      <c r="M114" s="153">
        <f t="shared" si="29"/>
        <v>504.9</v>
      </c>
      <c r="N114" s="148">
        <f t="shared" si="39"/>
        <v>504.9</v>
      </c>
      <c r="O114" s="131" t="str">
        <f t="shared" si="30"/>
        <v/>
      </c>
      <c r="P114" s="131" t="str">
        <f t="shared" si="45"/>
        <v/>
      </c>
      <c r="Q114" s="131">
        <f t="shared" si="46"/>
        <v>504.9</v>
      </c>
      <c r="R114" s="127" t="str">
        <f t="shared" si="47"/>
        <v/>
      </c>
      <c r="S114" s="60" t="str">
        <f t="shared" si="40"/>
        <v/>
      </c>
      <c r="T114" s="228">
        <f>IF(L114="","",VLOOKUP(L114,classifications!C:K,9,FALSE))</f>
        <v>0</v>
      </c>
      <c r="U114" s="235" t="str">
        <f t="shared" si="31"/>
        <v/>
      </c>
      <c r="V114" s="236" t="str">
        <f>IF(U114="","",IF($I$8="A",(RANK(U114,U$11:U$355)+COUNTIF(U$11:U114,U114)-1),(RANK(U114,U$11:U$355,1)+COUNTIF(U$11:U114,U114)-1)))</f>
        <v/>
      </c>
      <c r="W114" s="237"/>
      <c r="X114" s="61" t="str">
        <f>IF(L114="","",VLOOKUP($L114,classifications!$C:$J,6,FALSE))</f>
        <v>Urban with City and Town</v>
      </c>
      <c r="Y114" s="49" t="str">
        <f t="shared" si="32"/>
        <v/>
      </c>
      <c r="Z114" s="57" t="str">
        <f>IF(Y114="","",IF(I$8="A",(RANK(Y114,Y$11:Y$355,1)+COUNTIF(Y$11:Y114,Y114)-1),(RANK(Y114,Y$11:Y$355)+COUNTIF(Y$11:Y114,Y114)-1)))</f>
        <v/>
      </c>
      <c r="AA114" s="242" t="str">
        <f>IF(L114="","",VLOOKUP($L114,classifications!C:I,7,FALSE))</f>
        <v>Predominantly Urban</v>
      </c>
      <c r="AB114" s="236" t="str">
        <f t="shared" si="41"/>
        <v/>
      </c>
      <c r="AC114" s="236" t="str">
        <f>IF(AB114="","",IF($I$8="A",(RANK(AB114,AB$11:AB$355)+COUNTIF(AB$11:AB114,AB114)-1),(RANK(AB114,AB$11:AB$355,1)+COUNTIF(AB$11:AB114,AB114)-1)))</f>
        <v/>
      </c>
      <c r="AD114" s="236"/>
      <c r="AE114" s="51" t="str">
        <f t="shared" si="48"/>
        <v/>
      </c>
      <c r="AG114" s="143"/>
      <c r="AH114" s="52"/>
      <c r="AI114" s="61" t="str">
        <f>IF(L114="","",VLOOKUP($L114,classifications!$C:$J,8,FALSE))</f>
        <v>Lancashire</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North West</v>
      </c>
      <c r="AQ114" s="62">
        <f t="shared" si="43"/>
        <v>504.9</v>
      </c>
      <c r="AR114" s="57">
        <f>IF(AQ114="","",IF(I$8="A",(RANK(AQ114,AQ$11:AQ$355,1)+COUNTIF(AQ$11:AQ114,AQ114)-1),(RANK(AQ114,AQ$11:AQ$355)+COUNTIF(AQ$11:AQ114,AQ114)-1)))</f>
        <v>7</v>
      </c>
      <c r="AS114" s="52" t="str">
        <f t="shared" si="44"/>
        <v/>
      </c>
      <c r="AT114" s="57" t="str">
        <f t="shared" si="36"/>
        <v/>
      </c>
      <c r="AU114" s="62" t="str">
        <f t="shared" si="37"/>
        <v/>
      </c>
      <c r="AX114" s="44">
        <f>HLOOKUP($AX$9&amp;$AX$10,Data!$A$1:$ZZ$2000,(MATCH($C114,Data!$A$1:$A$2000,0)),FALSE)</f>
        <v>524.79999999999995</v>
      </c>
      <c r="AY114" s="156"/>
      <c r="AZ114" s="44"/>
    </row>
    <row r="115" spans="1:52">
      <c r="A115" s="84" t="str">
        <f>$D$1&amp;105</f>
        <v>SD105</v>
      </c>
      <c r="B115" s="85">
        <f>IF(ISERROR(VLOOKUP(A115,classifications!A:C,3,FALSE)),0,VLOOKUP(A115,classifications!A:C,3,FALSE))</f>
        <v>0</v>
      </c>
      <c r="C115" s="31" t="s">
        <v>66</v>
      </c>
      <c r="D115" s="49" t="str">
        <f>VLOOKUP($C115,classifications!$C:$J,4,FALSE)</f>
        <v>SD</v>
      </c>
      <c r="E115" s="49">
        <f>VLOOKUP(C115,classifications!C:K,9,FALSE)</f>
        <v>0</v>
      </c>
      <c r="F115" s="59">
        <f t="shared" si="26"/>
        <v>476.6</v>
      </c>
      <c r="G115" s="105"/>
      <c r="H115" s="60">
        <f t="shared" si="27"/>
        <v>476.6</v>
      </c>
      <c r="I115" s="112">
        <f>IF(H115="","",IF($I$8="A",(RANK(H115,H$11:H$355,1)+COUNTIF(H$11:H115,H115)-1),(RANK(H115,H$11:H$355)+COUNTIF(H$11:H115,H115)-1)))</f>
        <v>79</v>
      </c>
      <c r="J115" s="58"/>
      <c r="K115" s="51">
        <f t="shared" si="38"/>
        <v>105</v>
      </c>
      <c r="L115" s="59" t="str">
        <f t="shared" si="28"/>
        <v>West Lancashire</v>
      </c>
      <c r="M115" s="153">
        <f t="shared" si="29"/>
        <v>505.6</v>
      </c>
      <c r="N115" s="148">
        <f t="shared" si="39"/>
        <v>505.6</v>
      </c>
      <c r="O115" s="131" t="str">
        <f t="shared" si="30"/>
        <v/>
      </c>
      <c r="P115" s="131" t="str">
        <f t="shared" si="45"/>
        <v/>
      </c>
      <c r="Q115" s="131">
        <f t="shared" si="46"/>
        <v>505.6</v>
      </c>
      <c r="R115" s="127" t="str">
        <f t="shared" si="47"/>
        <v/>
      </c>
      <c r="S115" s="60" t="str">
        <f t="shared" si="40"/>
        <v/>
      </c>
      <c r="T115" s="228">
        <f>IF(L115="","",VLOOKUP(L115,classifications!C:K,9,FALSE))</f>
        <v>0</v>
      </c>
      <c r="U115" s="235" t="str">
        <f t="shared" si="31"/>
        <v/>
      </c>
      <c r="V115" s="236" t="str">
        <f>IF(U115="","",IF($I$8="A",(RANK(U115,U$11:U$355)+COUNTIF(U$11:U115,U115)-1),(RANK(U115,U$11:U$355,1)+COUNTIF(U$11:U115,U115)-1)))</f>
        <v/>
      </c>
      <c r="W115" s="237"/>
      <c r="X115" s="61" t="str">
        <f>IF(L115="","",VLOOKUP($L115,classifications!$C:$J,6,FALSE))</f>
        <v>Urban with Significant Rural (rural including hub towns 26-49%)</v>
      </c>
      <c r="Y115" s="49" t="str">
        <f t="shared" si="32"/>
        <v/>
      </c>
      <c r="Z115" s="57" t="str">
        <f>IF(Y115="","",IF(I$8="A",(RANK(Y115,Y$11:Y$355,1)+COUNTIF(Y$11:Y115,Y115)-1),(RANK(Y115,Y$11:Y$355)+COUNTIF(Y$11:Y115,Y115)-1)))</f>
        <v/>
      </c>
      <c r="AA115" s="242" t="str">
        <f>IF(L115="","",VLOOKUP($L115,classifications!C:I,7,FALSE))</f>
        <v>Significant Rural</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Lancashire</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North West</v>
      </c>
      <c r="AQ115" s="62">
        <f t="shared" si="43"/>
        <v>505.6</v>
      </c>
      <c r="AR115" s="57">
        <f>IF(AQ115="","",IF(I$8="A",(RANK(AQ115,AQ$11:AQ$355,1)+COUNTIF(AQ$11:AQ115,AQ115)-1),(RANK(AQ115,AQ$11:AQ$355)+COUNTIF(AQ$11:AQ115,AQ115)-1)))</f>
        <v>8</v>
      </c>
      <c r="AS115" s="52" t="str">
        <f t="shared" si="44"/>
        <v/>
      </c>
      <c r="AT115" s="57" t="str">
        <f t="shared" si="36"/>
        <v/>
      </c>
      <c r="AU115" s="62" t="str">
        <f t="shared" si="37"/>
        <v/>
      </c>
      <c r="AX115" s="44">
        <f>HLOOKUP($AX$9&amp;$AX$10,Data!$A$1:$ZZ$2000,(MATCH($C115,Data!$A$1:$A$2000,0)),FALSE)</f>
        <v>476.6</v>
      </c>
      <c r="AY115" s="156"/>
      <c r="AZ115" s="44"/>
    </row>
    <row r="116" spans="1:52">
      <c r="A116" s="84" t="str">
        <f>$D$1&amp;106</f>
        <v>SD106</v>
      </c>
      <c r="B116" s="85">
        <f>IF(ISERROR(VLOOKUP(A116,classifications!A:C,3,FALSE)),0,VLOOKUP(A116,classifications!A:C,3,FALSE))</f>
        <v>0</v>
      </c>
      <c r="C116" s="31" t="s">
        <v>67</v>
      </c>
      <c r="D116" s="49" t="str">
        <f>VLOOKUP($C116,classifications!$C:$J,4,FALSE)</f>
        <v>SD</v>
      </c>
      <c r="E116" s="49">
        <f>VLOOKUP(C116,classifications!C:K,9,FALSE)</f>
        <v>0</v>
      </c>
      <c r="F116" s="59">
        <f t="shared" si="26"/>
        <v>488.8</v>
      </c>
      <c r="G116" s="105"/>
      <c r="H116" s="60">
        <f t="shared" si="27"/>
        <v>488.8</v>
      </c>
      <c r="I116" s="112">
        <f>IF(H116="","",IF($I$8="A",(RANK(H116,H$11:H$355,1)+COUNTIF(H$11:H116,H116)-1),(RANK(H116,H$11:H$355)+COUNTIF(H$11:H116,H116)-1)))</f>
        <v>89</v>
      </c>
      <c r="J116" s="58"/>
      <c r="K116" s="51">
        <f t="shared" si="38"/>
        <v>106</v>
      </c>
      <c r="L116" s="59" t="str">
        <f t="shared" si="28"/>
        <v>Braintree</v>
      </c>
      <c r="M116" s="153">
        <f t="shared" si="29"/>
        <v>505.7</v>
      </c>
      <c r="N116" s="148">
        <f t="shared" si="39"/>
        <v>505.7</v>
      </c>
      <c r="O116" s="131" t="str">
        <f t="shared" si="30"/>
        <v/>
      </c>
      <c r="P116" s="131" t="str">
        <f t="shared" si="45"/>
        <v/>
      </c>
      <c r="Q116" s="131">
        <f t="shared" si="46"/>
        <v>505.7</v>
      </c>
      <c r="R116" s="127" t="str">
        <f t="shared" si="47"/>
        <v/>
      </c>
      <c r="S116" s="60" t="str">
        <f t="shared" si="40"/>
        <v/>
      </c>
      <c r="T116" s="228" t="str">
        <f>IF(L116="","",VLOOKUP(L116,classifications!C:K,9,FALSE))</f>
        <v>Sparse</v>
      </c>
      <c r="U116" s="235">
        <f t="shared" si="31"/>
        <v>505.7</v>
      </c>
      <c r="V116" s="236">
        <f>IF(U116="","",IF($I$8="A",(RANK(U116,U$11:U$355)+COUNTIF(U$11:U116,U116)-1),(RANK(U116,U$11:U$355,1)+COUNTIF(U$11:U116,U116)-1)))</f>
        <v>21</v>
      </c>
      <c r="W116" s="237"/>
      <c r="X116" s="61" t="str">
        <f>IF(L116="","",VLOOKUP($L116,classifications!$C:$J,6,FALSE))</f>
        <v xml:space="preserve">Largely Rural (rural including hub towns 50-79%) </v>
      </c>
      <c r="Y116" s="49" t="str">
        <f t="shared" si="32"/>
        <v/>
      </c>
      <c r="Z116" s="57" t="str">
        <f>IF(Y116="","",IF(I$8="A",(RANK(Y116,Y$11:Y$355,1)+COUNTIF(Y$11:Y116,Y116)-1),(RANK(Y116,Y$11:Y$355)+COUNTIF(Y$11:Y116,Y116)-1)))</f>
        <v/>
      </c>
      <c r="AA116" s="242" t="str">
        <f>IF(L116="","",VLOOKUP($L116,classifications!C:I,7,FALSE))</f>
        <v>Predominantly Rural</v>
      </c>
      <c r="AB116" s="236">
        <f t="shared" si="41"/>
        <v>505.7</v>
      </c>
      <c r="AC116" s="236">
        <f>IF(AB116="","",IF($I$8="A",(RANK(AB116,AB$11:AB$355)+COUNTIF(AB$11:AB116,AB116)-1),(RANK(AB116,AB$11:AB$355,1)+COUNTIF(AB$11:AB116,AB116)-1)))</f>
        <v>26</v>
      </c>
      <c r="AD116" s="236"/>
      <c r="AE116" s="51" t="str">
        <f t="shared" si="48"/>
        <v/>
      </c>
      <c r="AG116" s="143"/>
      <c r="AH116" s="52"/>
      <c r="AI116" s="61" t="str">
        <f>IF(L116="","",VLOOKUP($L116,classifications!$C:$J,8,FALSE))</f>
        <v>Essex</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East of England</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488.8</v>
      </c>
      <c r="AY116" s="156"/>
      <c r="AZ116" s="44"/>
    </row>
    <row r="117" spans="1:52">
      <c r="A117" s="84" t="str">
        <f>$D$1&amp;107</f>
        <v>SD107</v>
      </c>
      <c r="B117" s="85">
        <f>IF(ISERROR(VLOOKUP(A117,classifications!A:C,3,FALSE)),0,VLOOKUP(A117,classifications!A:C,3,FALSE))</f>
        <v>0</v>
      </c>
      <c r="C117" s="31" t="s">
        <v>68</v>
      </c>
      <c r="D117" s="49" t="str">
        <f>VLOOKUP($C117,classifications!$C:$J,4,FALSE)</f>
        <v>SD</v>
      </c>
      <c r="E117" s="49">
        <f>VLOOKUP(C117,classifications!C:K,9,FALSE)</f>
        <v>0</v>
      </c>
      <c r="F117" s="59">
        <f t="shared" si="26"/>
        <v>563.4</v>
      </c>
      <c r="G117" s="105"/>
      <c r="H117" s="60">
        <f t="shared" si="27"/>
        <v>563.4</v>
      </c>
      <c r="I117" s="112">
        <f>IF(H117="","",IF($I$8="A",(RANK(H117,H$11:H$355,1)+COUNTIF(H$11:H117,H117)-1),(RANK(H117,H$11:H$355)+COUNTIF(H$11:H117,H117)-1)))</f>
        <v>152</v>
      </c>
      <c r="J117" s="58"/>
      <c r="K117" s="51">
        <f t="shared" si="38"/>
        <v>107</v>
      </c>
      <c r="L117" s="59" t="str">
        <f t="shared" si="28"/>
        <v>East Suffolk</v>
      </c>
      <c r="M117" s="153">
        <f t="shared" si="29"/>
        <v>507.9</v>
      </c>
      <c r="N117" s="148">
        <f t="shared" si="39"/>
        <v>507.9</v>
      </c>
      <c r="O117" s="131" t="str">
        <f t="shared" si="30"/>
        <v/>
      </c>
      <c r="P117" s="131" t="str">
        <f t="shared" si="45"/>
        <v/>
      </c>
      <c r="Q117" s="131">
        <f t="shared" si="46"/>
        <v>507.9</v>
      </c>
      <c r="R117" s="127" t="str">
        <f t="shared" si="47"/>
        <v/>
      </c>
      <c r="S117" s="60" t="str">
        <f t="shared" si="40"/>
        <v/>
      </c>
      <c r="T117" s="228" t="str">
        <f>IF(L117="","",VLOOKUP(L117,classifications!C:K,9,FALSE))</f>
        <v>Sparse</v>
      </c>
      <c r="U117" s="235">
        <f t="shared" si="31"/>
        <v>507.9</v>
      </c>
      <c r="V117" s="236">
        <f>IF(U117="","",IF($I$8="A",(RANK(U117,U$11:U$355)+COUNTIF(U$11:U117,U117)-1),(RANK(U117,U$11:U$355,1)+COUNTIF(U$11:U117,U117)-1)))</f>
        <v>20</v>
      </c>
      <c r="W117" s="237"/>
      <c r="X117" s="61" t="str">
        <f>IF(L117="","",VLOOKUP($L117,classifications!$C:$J,6,FALSE))</f>
        <v xml:space="preserve">Largely Rural (rural including hub towns 50-79%) </v>
      </c>
      <c r="Y117" s="49" t="str">
        <f t="shared" si="32"/>
        <v/>
      </c>
      <c r="Z117" s="57" t="str">
        <f>IF(Y117="","",IF(I$8="A",(RANK(Y117,Y$11:Y$355,1)+COUNTIF(Y$11:Y117,Y117)-1),(RANK(Y117,Y$11:Y$355)+COUNTIF(Y$11:Y117,Y117)-1)))</f>
        <v/>
      </c>
      <c r="AA117" s="242" t="str">
        <f>IF(L117="","",VLOOKUP($L117,classifications!C:I,7,FALSE))</f>
        <v>Predominantly Rural</v>
      </c>
      <c r="AB117" s="236">
        <f t="shared" si="41"/>
        <v>507.9</v>
      </c>
      <c r="AC117" s="236">
        <f>IF(AB117="","",IF($I$8="A",(RANK(AB117,AB$11:AB$355)+COUNTIF(AB$11:AB117,AB117)-1),(RANK(AB117,AB$11:AB$355,1)+COUNTIF(AB$11:AB117,AB117)-1)))</f>
        <v>25</v>
      </c>
      <c r="AD117" s="236"/>
      <c r="AE117" s="51" t="str">
        <f t="shared" si="48"/>
        <v/>
      </c>
      <c r="AG117" s="143"/>
      <c r="AH117" s="52"/>
      <c r="AI117" s="61" t="str">
        <f>IF(L117="","",VLOOKUP($L117,classifications!$C:$J,8,FALSE))</f>
        <v>Suffolk</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East of England</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563.4</v>
      </c>
      <c r="AY117" s="156"/>
      <c r="AZ117" s="44"/>
    </row>
    <row r="118" spans="1:52">
      <c r="A118" s="84" t="str">
        <f>$D$1&amp;108</f>
        <v>SD108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431.5</v>
      </c>
      <c r="G118" s="105"/>
      <c r="H118" s="60">
        <f t="shared" si="27"/>
        <v>431.5</v>
      </c>
      <c r="I118" s="112">
        <f>IF(H118="","",IF($I$8="A",(RANK(H118,H$11:H$355,1)+COUNTIF(H$11:H118,H118)-1),(RANK(H118,H$11:H$355)+COUNTIF(H$11:H118,H118)-1)))</f>
        <v>42</v>
      </c>
      <c r="J118" s="58"/>
      <c r="K118" s="51">
        <f t="shared" si="38"/>
        <v>108</v>
      </c>
      <c r="L118" s="59" t="str">
        <f t="shared" si="28"/>
        <v>Thanet</v>
      </c>
      <c r="M118" s="153">
        <f t="shared" si="29"/>
        <v>508.6</v>
      </c>
      <c r="N118" s="148">
        <f t="shared" si="39"/>
        <v>508.6</v>
      </c>
      <c r="O118" s="131" t="str">
        <f t="shared" si="30"/>
        <v/>
      </c>
      <c r="P118" s="131" t="str">
        <f t="shared" si="45"/>
        <v/>
      </c>
      <c r="Q118" s="131">
        <f t="shared" si="46"/>
        <v>508.6</v>
      </c>
      <c r="R118" s="127" t="str">
        <f t="shared" si="47"/>
        <v/>
      </c>
      <c r="S118" s="60" t="str">
        <f t="shared" si="40"/>
        <v/>
      </c>
      <c r="T118" s="228">
        <f>IF(L118="","",VLOOKUP(L118,classifications!C:K,9,FALSE))</f>
        <v>0</v>
      </c>
      <c r="U118" s="235" t="str">
        <f t="shared" si="31"/>
        <v/>
      </c>
      <c r="V118" s="236" t="str">
        <f>IF(U118="","",IF($I$8="A",(RANK(U118,U$11:U$355)+COUNTIF(U$11:U118,U118)-1),(RANK(U118,U$11:U$355,1)+COUNTIF(U$11:U118,U118)-1)))</f>
        <v/>
      </c>
      <c r="W118" s="237"/>
      <c r="X118" s="61" t="str">
        <f>IF(L118="","",VLOOKUP($L118,classifications!$C:$J,6,FALSE))</f>
        <v>Urban with City and Town</v>
      </c>
      <c r="Y118" s="49" t="str">
        <f t="shared" si="32"/>
        <v/>
      </c>
      <c r="Z118" s="57" t="str">
        <f>IF(Y118="","",IF(I$8="A",(RANK(Y118,Y$11:Y$355,1)+COUNTIF(Y$11:Y118,Y118)-1),(RANK(Y118,Y$11:Y$355)+COUNTIF(Y$11:Y118,Y118)-1)))</f>
        <v/>
      </c>
      <c r="AA118" s="242" t="str">
        <f>IF(L118="","",VLOOKUP($L118,classifications!C:I,7,FALSE))</f>
        <v>Predominantly Urban</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Kent</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South East</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431.5</v>
      </c>
      <c r="AY118" s="156"/>
      <c r="AZ118" s="44"/>
    </row>
    <row r="119" spans="1:52">
      <c r="A119" s="84" t="str">
        <f>$D$1&amp;109</f>
        <v>SD109</v>
      </c>
      <c r="B119" s="85">
        <f>IF(ISERROR(VLOOKUP(A119,classifications!A:C,3,FALSE)),0,VLOOKUP(A119,classifications!A:C,3,FALSE))</f>
        <v>0</v>
      </c>
      <c r="C119" s="31" t="s">
        <v>71</v>
      </c>
      <c r="D119" s="49" t="str">
        <f>VLOOKUP($C119,classifications!$C:$J,4,FALSE)</f>
        <v>SD</v>
      </c>
      <c r="E119" s="49">
        <f>VLOOKUP(C119,classifications!C:K,9,FALSE)</f>
        <v>0</v>
      </c>
      <c r="F119" s="59">
        <f t="shared" si="26"/>
        <v>482.7</v>
      </c>
      <c r="G119" s="105"/>
      <c r="H119" s="60">
        <f t="shared" si="27"/>
        <v>482.7</v>
      </c>
      <c r="I119" s="112">
        <f>IF(H119="","",IF($I$8="A",(RANK(H119,H$11:H$355,1)+COUNTIF(H$11:H119,H119)-1),(RANK(H119,H$11:H$355)+COUNTIF(H$11:H119,H119)-1)))</f>
        <v>85</v>
      </c>
      <c r="J119" s="58"/>
      <c r="K119" s="51">
        <f t="shared" si="38"/>
        <v>109</v>
      </c>
      <c r="L119" s="59" t="str">
        <f t="shared" si="28"/>
        <v>South Norfolk</v>
      </c>
      <c r="M119" s="153">
        <f t="shared" si="29"/>
        <v>509.3</v>
      </c>
      <c r="N119" s="148">
        <f t="shared" si="39"/>
        <v>509.3</v>
      </c>
      <c r="O119" s="131" t="str">
        <f t="shared" si="30"/>
        <v/>
      </c>
      <c r="P119" s="131" t="str">
        <f t="shared" si="45"/>
        <v/>
      </c>
      <c r="Q119" s="131">
        <f t="shared" si="46"/>
        <v>509.3</v>
      </c>
      <c r="R119" s="127" t="str">
        <f t="shared" si="47"/>
        <v/>
      </c>
      <c r="S119" s="60" t="str">
        <f t="shared" si="40"/>
        <v/>
      </c>
      <c r="T119" s="228" t="str">
        <f>IF(L119="","",VLOOKUP(L119,classifications!C:K,9,FALSE))</f>
        <v>Sparse</v>
      </c>
      <c r="U119" s="235">
        <f t="shared" si="31"/>
        <v>509.3</v>
      </c>
      <c r="V119" s="236">
        <f>IF(U119="","",IF($I$8="A",(RANK(U119,U$11:U$355)+COUNTIF(U$11:U119,U119)-1),(RANK(U119,U$11:U$355,1)+COUNTIF(U$11:U119,U119)-1)))</f>
        <v>19</v>
      </c>
      <c r="W119" s="237"/>
      <c r="X119" s="61" t="str">
        <f>IF(L119="","",VLOOKUP($L119,classifications!$C:$J,6,FALSE))</f>
        <v xml:space="preserve">Mainly Rural (rural including hub towns &gt;=80%) </v>
      </c>
      <c r="Y119" s="49">
        <f t="shared" si="32"/>
        <v>509.3</v>
      </c>
      <c r="Z119" s="57">
        <f>IF(Y119="","",IF(I$8="A",(RANK(Y119,Y$11:Y$355,1)+COUNTIF(Y$11:Y119,Y119)-1),(RANK(Y119,Y$11:Y$355)+COUNTIF(Y$11:Y119,Y119)-1)))</f>
        <v>28</v>
      </c>
      <c r="AA119" s="242" t="str">
        <f>IF(L119="","",VLOOKUP($L119,classifications!C:I,7,FALSE))</f>
        <v>Predominantly Rural</v>
      </c>
      <c r="AB119" s="236">
        <f t="shared" si="41"/>
        <v>509.3</v>
      </c>
      <c r="AC119" s="236">
        <f>IF(AB119="","",IF($I$8="A",(RANK(AB119,AB$11:AB$355)+COUNTIF(AB$11:AB119,AB119)-1),(RANK(AB119,AB$11:AB$355,1)+COUNTIF(AB$11:AB119,AB119)-1)))</f>
        <v>24</v>
      </c>
      <c r="AD119" s="236"/>
      <c r="AE119" s="51" t="str">
        <f t="shared" si="48"/>
        <v/>
      </c>
      <c r="AG119" s="143"/>
      <c r="AH119" s="52"/>
      <c r="AI119" s="61" t="str">
        <f>IF(L119="","",VLOOKUP($L119,classifications!$C:$J,8,FALSE))</f>
        <v>Norfolk</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East of England</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482.7</v>
      </c>
      <c r="AY119" s="156"/>
      <c r="AZ119" s="44"/>
    </row>
    <row r="120" spans="1:52">
      <c r="A120" s="84" t="str">
        <f>$D$1&amp;110</f>
        <v>SD110</v>
      </c>
      <c r="B120" s="85">
        <f>IF(ISERROR(VLOOKUP(A120,classifications!A:C,3,FALSE)),0,VLOOKUP(A120,classifications!A:C,3,FALSE))</f>
        <v>0</v>
      </c>
      <c r="C120" s="31" t="s">
        <v>231</v>
      </c>
      <c r="D120" s="49" t="str">
        <f>VLOOKUP($C120,classifications!$C:$J,4,FALSE)</f>
        <v>MD</v>
      </c>
      <c r="E120" s="49">
        <f>VLOOKUP(C120,classifications!C:K,9,FALSE)</f>
        <v>0</v>
      </c>
      <c r="F120" s="59">
        <f t="shared" si="26"/>
        <v>650.9</v>
      </c>
      <c r="G120" s="105"/>
      <c r="H120" s="60" t="str">
        <f t="shared" si="27"/>
        <v/>
      </c>
      <c r="I120" s="112" t="str">
        <f>IF(H120="","",IF($I$8="A",(RANK(H120,H$11:H$355,1)+COUNTIF(H$11:H120,H120)-1),(RANK(H120,H$11:H$355)+COUNTIF(H$11:H120,H120)-1)))</f>
        <v/>
      </c>
      <c r="J120" s="58"/>
      <c r="K120" s="51">
        <f t="shared" si="38"/>
        <v>110</v>
      </c>
      <c r="L120" s="59" t="str">
        <f t="shared" si="28"/>
        <v>Scarborough</v>
      </c>
      <c r="M120" s="153">
        <f t="shared" si="29"/>
        <v>510.3</v>
      </c>
      <c r="N120" s="148">
        <f t="shared" si="39"/>
        <v>510.3</v>
      </c>
      <c r="O120" s="131" t="str">
        <f t="shared" si="30"/>
        <v/>
      </c>
      <c r="P120" s="131" t="str">
        <f t="shared" si="45"/>
        <v/>
      </c>
      <c r="Q120" s="131">
        <f t="shared" si="46"/>
        <v>510.3</v>
      </c>
      <c r="R120" s="127" t="str">
        <f t="shared" si="47"/>
        <v/>
      </c>
      <c r="S120" s="60" t="str">
        <f t="shared" si="40"/>
        <v/>
      </c>
      <c r="T120" s="228" t="str">
        <f>IF(L120="","",VLOOKUP(L120,classifications!C:K,9,FALSE))</f>
        <v>Sparse</v>
      </c>
      <c r="U120" s="235">
        <f t="shared" si="31"/>
        <v>510.3</v>
      </c>
      <c r="V120" s="236">
        <f>IF(U120="","",IF($I$8="A",(RANK(U120,U$11:U$355)+COUNTIF(U$11:U120,U120)-1),(RANK(U120,U$11:U$355,1)+COUNTIF(U$11:U120,U120)-1)))</f>
        <v>18</v>
      </c>
      <c r="W120" s="237"/>
      <c r="X120" s="61" t="str">
        <f>IF(L120="","",VLOOKUP($L120,classifications!$C:$J,6,FALSE))</f>
        <v>Urban with Significant Rural (rural including hub towns 26-49%)</v>
      </c>
      <c r="Y120" s="49" t="str">
        <f t="shared" si="32"/>
        <v/>
      </c>
      <c r="Z120" s="57" t="str">
        <f>IF(Y120="","",IF(I$8="A",(RANK(Y120,Y$11:Y$355,1)+COUNTIF(Y$11:Y120,Y120)-1),(RANK(Y120,Y$11:Y$355)+COUNTIF(Y$11:Y120,Y120)-1)))</f>
        <v/>
      </c>
      <c r="AA120" s="242" t="str">
        <f>IF(L120="","",VLOOKUP($L120,classifications!C:I,7,FALSE))</f>
        <v>Significant Rural</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North Yorkshire</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Yorkshire &amp; Humberside</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650.9</v>
      </c>
      <c r="AY120" s="156"/>
      <c r="AZ120" s="44"/>
    </row>
    <row r="121" spans="1:52">
      <c r="A121" s="84" t="str">
        <f>$D$1&amp;111</f>
        <v>SD111</v>
      </c>
      <c r="B121" s="85">
        <f>IF(ISERROR(VLOOKUP(A121,classifications!A:C,3,FALSE)),0,VLOOKUP(A121,classifications!A:C,3,FALSE))</f>
        <v>0</v>
      </c>
      <c r="C121" s="31" t="s">
        <v>72</v>
      </c>
      <c r="D121" s="49" t="str">
        <f>VLOOKUP($C121,classifications!$C:$J,4,FALSE)</f>
        <v>SD</v>
      </c>
      <c r="E121" s="49">
        <f>VLOOKUP(C121,classifications!C:K,9,FALSE)</f>
        <v>0</v>
      </c>
      <c r="F121" s="59">
        <f t="shared" si="26"/>
        <v>623.79999999999995</v>
      </c>
      <c r="G121" s="105"/>
      <c r="H121" s="60">
        <f t="shared" si="27"/>
        <v>623.79999999999995</v>
      </c>
      <c r="I121" s="112">
        <f>IF(H121="","",IF($I$8="A",(RANK(H121,H$11:H$355,1)+COUNTIF(H$11:H121,H121)-1),(RANK(H121,H$11:H$355)+COUNTIF(H$11:H121,H121)-1)))</f>
        <v>176</v>
      </c>
      <c r="J121" s="58"/>
      <c r="K121" s="51">
        <f t="shared" si="38"/>
        <v>111</v>
      </c>
      <c r="L121" s="59" t="str">
        <f t="shared" si="28"/>
        <v>Rushcliffe</v>
      </c>
      <c r="M121" s="153">
        <f t="shared" si="29"/>
        <v>511.5</v>
      </c>
      <c r="N121" s="148">
        <f t="shared" si="39"/>
        <v>511.5</v>
      </c>
      <c r="O121" s="131" t="str">
        <f t="shared" si="30"/>
        <v/>
      </c>
      <c r="P121" s="131" t="str">
        <f t="shared" si="45"/>
        <v/>
      </c>
      <c r="Q121" s="131">
        <f t="shared" si="46"/>
        <v>511.5</v>
      </c>
      <c r="R121" s="127" t="str">
        <f t="shared" si="47"/>
        <v/>
      </c>
      <c r="S121" s="60" t="str">
        <f t="shared" si="40"/>
        <v/>
      </c>
      <c r="T121" s="228">
        <f>IF(L121="","",VLOOKUP(L121,classifications!C:K,9,FALSE))</f>
        <v>0</v>
      </c>
      <c r="U121" s="235" t="str">
        <f t="shared" si="31"/>
        <v/>
      </c>
      <c r="V121" s="236" t="str">
        <f>IF(U121="","",IF($I$8="A",(RANK(U121,U$11:U$355)+COUNTIF(U$11:U121,U121)-1),(RANK(U121,U$11:U$355,1)+COUNTIF(U$11:U121,U121)-1)))</f>
        <v/>
      </c>
      <c r="W121" s="237"/>
      <c r="X121" s="61" t="str">
        <f>IF(L121="","",VLOOKUP($L121,classifications!$C:$J,6,FALSE))</f>
        <v xml:space="preserve">Largely Rural (rural including hub towns 50-79%) </v>
      </c>
      <c r="Y121" s="49" t="str">
        <f t="shared" si="32"/>
        <v/>
      </c>
      <c r="Z121" s="57" t="str">
        <f>IF(Y121="","",IF(I$8="A",(RANK(Y121,Y$11:Y$355,1)+COUNTIF(Y$11:Y121,Y121)-1),(RANK(Y121,Y$11:Y$355)+COUNTIF(Y$11:Y121,Y121)-1)))</f>
        <v/>
      </c>
      <c r="AA121" s="242" t="str">
        <f>IF(L121="","",VLOOKUP($L121,classifications!C:I,7,FALSE))</f>
        <v>Predominantly Rural</v>
      </c>
      <c r="AB121" s="236">
        <f t="shared" si="41"/>
        <v>511.5</v>
      </c>
      <c r="AC121" s="236">
        <f>IF(AB121="","",IF($I$8="A",(RANK(AB121,AB$11:AB$355)+COUNTIF(AB$11:AB121,AB121)-1),(RANK(AB121,AB$11:AB$355,1)+COUNTIF(AB$11:AB121,AB121)-1)))</f>
        <v>23</v>
      </c>
      <c r="AD121" s="236"/>
      <c r="AE121" s="51" t="str">
        <f t="shared" si="48"/>
        <v/>
      </c>
      <c r="AG121" s="143"/>
      <c r="AH121" s="52"/>
      <c r="AI121" s="61" t="str">
        <f>IF(L121="","",VLOOKUP($L121,classifications!$C:$J,8,FALSE))</f>
        <v>Nottinghamshire</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East Midlands</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f>HLOOKUP($AX$9&amp;$AX$10,Data!$A$1:$ZZ$2000,(MATCH($C121,Data!$A$1:$A$2000,0)),FALSE)</f>
        <v>623.79999999999995</v>
      </c>
      <c r="AY121" s="156"/>
      <c r="AZ121" s="44"/>
    </row>
    <row r="122" spans="1:52">
      <c r="A122" s="84" t="str">
        <f>$D$1&amp;112</f>
        <v>SD112</v>
      </c>
      <c r="B122" s="85">
        <f>IF(ISERROR(VLOOKUP(A122,classifications!A:C,3,FALSE)),0,VLOOKUP(A122,classifications!A:C,3,FALSE))</f>
        <v>0</v>
      </c>
      <c r="C122" s="31" t="s">
        <v>73</v>
      </c>
      <c r="D122" s="49" t="str">
        <f>VLOOKUP($C122,classifications!$C:$J,4,FALSE)</f>
        <v>SD</v>
      </c>
      <c r="E122" s="49">
        <f>VLOOKUP(C122,classifications!C:K,9,FALSE)</f>
        <v>0</v>
      </c>
      <c r="F122" s="59">
        <f t="shared" si="26"/>
        <v>475.2</v>
      </c>
      <c r="G122" s="105"/>
      <c r="H122" s="60">
        <f t="shared" si="27"/>
        <v>475.2</v>
      </c>
      <c r="I122" s="112">
        <f>IF(H122="","",IF($I$8="A",(RANK(H122,H$11:H$355,1)+COUNTIF(H$11:H122,H122)-1),(RANK(H122,H$11:H$355)+COUNTIF(H$11:H122,H122)-1)))</f>
        <v>76</v>
      </c>
      <c r="J122" s="58"/>
      <c r="K122" s="51">
        <f t="shared" si="38"/>
        <v>112</v>
      </c>
      <c r="L122" s="59" t="str">
        <f t="shared" si="28"/>
        <v>Hertsmere</v>
      </c>
      <c r="M122" s="153">
        <f t="shared" si="29"/>
        <v>511.8</v>
      </c>
      <c r="N122" s="148">
        <f t="shared" si="39"/>
        <v>511.8</v>
      </c>
      <c r="O122" s="131" t="str">
        <f t="shared" si="30"/>
        <v/>
      </c>
      <c r="P122" s="131" t="str">
        <f t="shared" si="45"/>
        <v/>
      </c>
      <c r="Q122" s="131">
        <f t="shared" si="46"/>
        <v>511.8</v>
      </c>
      <c r="R122" s="127" t="str">
        <f t="shared" si="47"/>
        <v/>
      </c>
      <c r="S122" s="60" t="str">
        <f t="shared" si="40"/>
        <v/>
      </c>
      <c r="T122" s="228">
        <f>IF(L122="","",VLOOKUP(L122,classifications!C:K,9,FALSE))</f>
        <v>0</v>
      </c>
      <c r="U122" s="235" t="str">
        <f t="shared" si="31"/>
        <v/>
      </c>
      <c r="V122" s="236" t="str">
        <f>IF(U122="","",IF($I$8="A",(RANK(U122,U$11:U$355)+COUNTIF(U$11:U122,U122)-1),(RANK(U122,U$11:U$355,1)+COUNTIF(U$11:U122,U122)-1)))</f>
        <v/>
      </c>
      <c r="W122" s="237"/>
      <c r="X122" s="61" t="str">
        <f>IF(L122="","",VLOOKUP($L122,classifications!$C:$J,6,FALSE))</f>
        <v>Urban with Major Conurbation</v>
      </c>
      <c r="Y122" s="49" t="str">
        <f t="shared" si="32"/>
        <v/>
      </c>
      <c r="Z122" s="57" t="str">
        <f>IF(Y122="","",IF(I$8="A",(RANK(Y122,Y$11:Y$355,1)+COUNTIF(Y$11:Y122,Y122)-1),(RANK(Y122,Y$11:Y$355)+COUNTIF(Y$11:Y122,Y122)-1)))</f>
        <v/>
      </c>
      <c r="AA122" s="242" t="str">
        <f>IF(L122="","",VLOOKUP($L122,classifications!C:I,7,FALSE))</f>
        <v>Predominantly Urban</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Hertfordshire</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East of England</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475.2</v>
      </c>
      <c r="AY122" s="156"/>
      <c r="AZ122" s="44"/>
    </row>
    <row r="123" spans="1:52">
      <c r="A123" s="84" t="str">
        <f>$D$1&amp;113</f>
        <v>SD113</v>
      </c>
      <c r="B123" s="85">
        <f>IF(ISERROR(VLOOKUP(A123,classifications!A:C,3,FALSE)),0,VLOOKUP(A123,classifications!A:C,3,FALSE))</f>
        <v>0</v>
      </c>
      <c r="C123" s="31" t="s">
        <v>312</v>
      </c>
      <c r="D123" s="49" t="str">
        <f>VLOOKUP($C123,classifications!$C:$J,4,FALSE)</f>
        <v>SC</v>
      </c>
      <c r="E123" s="49">
        <f>VLOOKUP(C123,classifications!C:K,9,FALSE)</f>
        <v>0</v>
      </c>
      <c r="F123" s="59">
        <f t="shared" si="26"/>
        <v>481</v>
      </c>
      <c r="G123" s="105"/>
      <c r="H123" s="60" t="str">
        <f t="shared" si="27"/>
        <v/>
      </c>
      <c r="I123" s="112" t="str">
        <f>IF(H123="","",IF($I$8="A",(RANK(H123,H$11:H$355,1)+COUNTIF(H$11:H123,H123)-1),(RANK(H123,H$11:H$355)+COUNTIF(H$11:H123,H123)-1)))</f>
        <v/>
      </c>
      <c r="J123" s="58"/>
      <c r="K123" s="51">
        <f t="shared" si="38"/>
        <v>113</v>
      </c>
      <c r="L123" s="59" t="str">
        <f t="shared" si="28"/>
        <v>South Staffordshire</v>
      </c>
      <c r="M123" s="153">
        <f t="shared" si="29"/>
        <v>511.9</v>
      </c>
      <c r="N123" s="148">
        <f t="shared" si="39"/>
        <v>511.9</v>
      </c>
      <c r="O123" s="131" t="str">
        <f t="shared" si="30"/>
        <v/>
      </c>
      <c r="P123" s="131" t="str">
        <f t="shared" si="45"/>
        <v/>
      </c>
      <c r="Q123" s="131">
        <f t="shared" si="46"/>
        <v>511.9</v>
      </c>
      <c r="R123" s="127" t="str">
        <f t="shared" si="47"/>
        <v/>
      </c>
      <c r="S123" s="60" t="str">
        <f t="shared" si="40"/>
        <v/>
      </c>
      <c r="T123" s="228">
        <f>IF(L123="","",VLOOKUP(L123,classifications!C:K,9,FALSE))</f>
        <v>0</v>
      </c>
      <c r="U123" s="235" t="str">
        <f t="shared" si="31"/>
        <v/>
      </c>
      <c r="V123" s="236" t="str">
        <f>IF(U123="","",IF($I$8="A",(RANK(U123,U$11:U$355)+COUNTIF(U$11:U123,U123)-1),(RANK(U123,U$11:U$355,1)+COUNTIF(U$11:U123,U123)-1)))</f>
        <v/>
      </c>
      <c r="W123" s="237"/>
      <c r="X123" s="61" t="str">
        <f>IF(L123="","",VLOOKUP($L123,classifications!$C:$J,6,FALSE))</f>
        <v>Urban with Significant Rural (rural including hub towns 26-49%)</v>
      </c>
      <c r="Y123" s="49" t="str">
        <f t="shared" si="32"/>
        <v/>
      </c>
      <c r="Z123" s="57" t="str">
        <f>IF(Y123="","",IF(I$8="A",(RANK(Y123,Y$11:Y$355,1)+COUNTIF(Y$11:Y123,Y123)-1),(RANK(Y123,Y$11:Y$355)+COUNTIF(Y$11:Y123,Y123)-1)))</f>
        <v/>
      </c>
      <c r="AA123" s="242" t="str">
        <f>IF(L123="","",VLOOKUP($L123,classifications!C:I,7,FALSE))</f>
        <v>Significant Rural</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Staffordshire</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West Midlands</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481</v>
      </c>
      <c r="AY123" s="156"/>
      <c r="AZ123" s="44"/>
    </row>
    <row r="124" spans="1:52">
      <c r="A124" s="84" t="str">
        <f>$D$1&amp;114</f>
        <v>SD114</v>
      </c>
      <c r="B124" s="85">
        <f>IF(ISERROR(VLOOKUP(A124,classifications!A:C,3,FALSE)),0,VLOOKUP(A124,classifications!A:C,3,FALSE))</f>
        <v>0</v>
      </c>
      <c r="C124" s="31" t="s">
        <v>74</v>
      </c>
      <c r="D124" s="49" t="str">
        <f>VLOOKUP($C124,classifications!$C:$J,4,FALSE)</f>
        <v>SD</v>
      </c>
      <c r="E124" s="49">
        <f>VLOOKUP(C124,classifications!C:K,9,FALSE)</f>
        <v>0</v>
      </c>
      <c r="F124" s="59">
        <f t="shared" si="26"/>
        <v>527.70000000000005</v>
      </c>
      <c r="G124" s="105"/>
      <c r="H124" s="60">
        <f t="shared" si="27"/>
        <v>527.70000000000005</v>
      </c>
      <c r="I124" s="112">
        <f>IF(H124="","",IF($I$8="A",(RANK(H124,H$11:H$355,1)+COUNTIF(H$11:H124,H124)-1),(RANK(H124,H$11:H$355)+COUNTIF(H$11:H124,H124)-1)))</f>
        <v>126</v>
      </c>
      <c r="J124" s="58"/>
      <c r="K124" s="51">
        <f t="shared" si="38"/>
        <v>114</v>
      </c>
      <c r="L124" s="59" t="str">
        <f t="shared" si="28"/>
        <v>Harborough</v>
      </c>
      <c r="M124" s="153">
        <f t="shared" si="29"/>
        <v>512.1</v>
      </c>
      <c r="N124" s="148">
        <f t="shared" si="39"/>
        <v>512.1</v>
      </c>
      <c r="O124" s="131" t="str">
        <f t="shared" si="30"/>
        <v/>
      </c>
      <c r="P124" s="131" t="str">
        <f t="shared" si="45"/>
        <v/>
      </c>
      <c r="Q124" s="131">
        <f t="shared" si="46"/>
        <v>512.1</v>
      </c>
      <c r="R124" s="127" t="str">
        <f t="shared" si="47"/>
        <v/>
      </c>
      <c r="S124" s="60" t="str">
        <f t="shared" si="40"/>
        <v/>
      </c>
      <c r="T124" s="228" t="str">
        <f>IF(L124="","",VLOOKUP(L124,classifications!C:K,9,FALSE))</f>
        <v>Sparse</v>
      </c>
      <c r="U124" s="235">
        <f t="shared" si="31"/>
        <v>512.1</v>
      </c>
      <c r="V124" s="236">
        <f>IF(U124="","",IF($I$8="A",(RANK(U124,U$11:U$355)+COUNTIF(U$11:U124,U124)-1),(RANK(U124,U$11:U$355,1)+COUNTIF(U$11:U124,U124)-1)))</f>
        <v>17</v>
      </c>
      <c r="W124" s="237"/>
      <c r="X124" s="61" t="str">
        <f>IF(L124="","",VLOOKUP($L124,classifications!$C:$J,6,FALSE))</f>
        <v xml:space="preserve">Mainly Rural (rural including hub towns &gt;=80%) </v>
      </c>
      <c r="Y124" s="49">
        <f t="shared" si="32"/>
        <v>512.1</v>
      </c>
      <c r="Z124" s="57">
        <f>IF(Y124="","",IF(I$8="A",(RANK(Y124,Y$11:Y$355,1)+COUNTIF(Y$11:Y124,Y124)-1),(RANK(Y124,Y$11:Y$355)+COUNTIF(Y$11:Y124,Y124)-1)))</f>
        <v>29</v>
      </c>
      <c r="AA124" s="242" t="str">
        <f>IF(L124="","",VLOOKUP($L124,classifications!C:I,7,FALSE))</f>
        <v>Predominantly Rural</v>
      </c>
      <c r="AB124" s="236">
        <f t="shared" si="41"/>
        <v>512.1</v>
      </c>
      <c r="AC124" s="236">
        <f>IF(AB124="","",IF($I$8="A",(RANK(AB124,AB$11:AB$355)+COUNTIF(AB$11:AB124,AB124)-1),(RANK(AB124,AB$11:AB$355,1)+COUNTIF(AB$11:AB124,AB124)-1)))</f>
        <v>22</v>
      </c>
      <c r="AD124" s="236"/>
      <c r="AE124" s="51" t="str">
        <f t="shared" si="48"/>
        <v/>
      </c>
      <c r="AG124" s="143"/>
      <c r="AH124" s="52"/>
      <c r="AI124" s="61" t="str">
        <f>IF(L124="","",VLOOKUP($L124,classifications!$C:$J,8,FALSE))</f>
        <v>Leicestershire</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East Midlands</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527.70000000000005</v>
      </c>
      <c r="AY124" s="156"/>
      <c r="AZ124" s="44"/>
    </row>
    <row r="125" spans="1:52">
      <c r="A125" s="84" t="str">
        <f>$D$1&amp;115</f>
        <v>SD115</v>
      </c>
      <c r="B125" s="85">
        <f>IF(ISERROR(VLOOKUP(A125,classifications!A:C,3,FALSE)),0,VLOOKUP(A125,classifications!A:C,3,FALSE))</f>
        <v>0</v>
      </c>
      <c r="C125" s="31" t="s">
        <v>75</v>
      </c>
      <c r="D125" s="49" t="str">
        <f>VLOOKUP($C125,classifications!$C:$J,4,FALSE)</f>
        <v>SD</v>
      </c>
      <c r="E125" s="49">
        <f>VLOOKUP(C125,classifications!C:K,9,FALSE)</f>
        <v>0</v>
      </c>
      <c r="F125" s="59">
        <f t="shared" si="26"/>
        <v>474.8</v>
      </c>
      <c r="G125" s="105"/>
      <c r="H125" s="60">
        <f t="shared" si="27"/>
        <v>474.8</v>
      </c>
      <c r="I125" s="112">
        <f>IF(H125="","",IF($I$8="A",(RANK(H125,H$11:H$355,1)+COUNTIF(H$11:H125,H125)-1),(RANK(H125,H$11:H$355)+COUNTIF(H$11:H125,H125)-1)))</f>
        <v>75</v>
      </c>
      <c r="J125" s="58"/>
      <c r="K125" s="51">
        <f t="shared" si="38"/>
        <v>115</v>
      </c>
      <c r="L125" s="59" t="str">
        <f t="shared" si="28"/>
        <v>Chesterfield</v>
      </c>
      <c r="M125" s="153">
        <f t="shared" si="29"/>
        <v>512.70000000000005</v>
      </c>
      <c r="N125" s="148">
        <f t="shared" si="39"/>
        <v>512.70000000000005</v>
      </c>
      <c r="O125" s="131" t="str">
        <f t="shared" si="30"/>
        <v/>
      </c>
      <c r="P125" s="131" t="str">
        <f t="shared" si="45"/>
        <v/>
      </c>
      <c r="Q125" s="131">
        <f t="shared" si="46"/>
        <v>512.70000000000005</v>
      </c>
      <c r="R125" s="127" t="str">
        <f t="shared" si="47"/>
        <v/>
      </c>
      <c r="S125" s="60" t="str">
        <f t="shared" si="40"/>
        <v/>
      </c>
      <c r="T125" s="228">
        <f>IF(L125="","",VLOOKUP(L125,classifications!C:K,9,FALSE))</f>
        <v>0</v>
      </c>
      <c r="U125" s="235" t="str">
        <f t="shared" si="31"/>
        <v/>
      </c>
      <c r="V125" s="236" t="str">
        <f>IF(U125="","",IF($I$8="A",(RANK(U125,U$11:U$355)+COUNTIF(U$11:U125,U125)-1),(RANK(U125,U$11:U$355,1)+COUNTIF(U$11:U125,U125)-1)))</f>
        <v/>
      </c>
      <c r="W125" s="237"/>
      <c r="X125" s="61" t="str">
        <f>IF(L125="","",VLOOKUP($L125,classifications!$C:$J,6,FALSE))</f>
        <v>Urban with City and Town</v>
      </c>
      <c r="Y125" s="49" t="str">
        <f t="shared" si="32"/>
        <v/>
      </c>
      <c r="Z125" s="57" t="str">
        <f>IF(Y125="","",IF(I$8="A",(RANK(Y125,Y$11:Y$355,1)+COUNTIF(Y$11:Y125,Y125)-1),(RANK(Y125,Y$11:Y$355)+COUNTIF(Y$11:Y125,Y125)-1)))</f>
        <v/>
      </c>
      <c r="AA125" s="242" t="str">
        <f>IF(L125="","",VLOOKUP($L125,classifications!C:I,7,FALSE))</f>
        <v>Predominantly Urban</v>
      </c>
      <c r="AB125" s="236" t="str">
        <f t="shared" si="41"/>
        <v/>
      </c>
      <c r="AC125" s="236" t="str">
        <f>IF(AB125="","",IF($I$8="A",(RANK(AB125,AB$11:AB$355)+COUNTIF(AB$11:AB125,AB125)-1),(RANK(AB125,AB$11:AB$355,1)+COUNTIF(AB$11:AB125,AB125)-1)))</f>
        <v/>
      </c>
      <c r="AD125" s="236"/>
      <c r="AE125" s="51" t="str">
        <f t="shared" si="48"/>
        <v/>
      </c>
      <c r="AG125" s="143"/>
      <c r="AH125" s="52"/>
      <c r="AI125" s="61" t="str">
        <f>IF(L125="","",VLOOKUP($L125,classifications!$C:$J,8,FALSE))</f>
        <v>Derbyshire</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East Midlands</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f>HLOOKUP($AX$9&amp;$AX$10,Data!$A$1:$ZZ$2000,(MATCH($C125,Data!$A$1:$A$2000,0)),FALSE)</f>
        <v>474.8</v>
      </c>
      <c r="AY125" s="156"/>
      <c r="AZ125" s="44"/>
    </row>
    <row r="126" spans="1:52">
      <c r="A126" s="84" t="str">
        <f>$D$1&amp;116</f>
        <v>SD116</v>
      </c>
      <c r="B126" s="85">
        <f>IF(ISERROR(VLOOKUP(A126,classifications!A:C,3,FALSE)),0,VLOOKUP(A126,classifications!A:C,3,FALSE))</f>
        <v>0</v>
      </c>
      <c r="C126" s="31" t="s">
        <v>76</v>
      </c>
      <c r="D126" s="49" t="str">
        <f>VLOOKUP($C126,classifications!$C:$J,4,FALSE)</f>
        <v>SD</v>
      </c>
      <c r="E126" s="49">
        <f>VLOOKUP(C126,classifications!C:K,9,FALSE)</f>
        <v>0</v>
      </c>
      <c r="F126" s="59">
        <f t="shared" si="26"/>
        <v>592.79999999999995</v>
      </c>
      <c r="G126" s="105"/>
      <c r="H126" s="60">
        <f t="shared" si="27"/>
        <v>592.79999999999995</v>
      </c>
      <c r="I126" s="112">
        <f>IF(H126="","",IF($I$8="A",(RANK(H126,H$11:H$355,1)+COUNTIF(H$11:H126,H126)-1),(RANK(H126,H$11:H$355)+COUNTIF(H$11:H126,H126)-1)))</f>
        <v>165</v>
      </c>
      <c r="J126" s="58"/>
      <c r="K126" s="51">
        <f t="shared" si="38"/>
        <v>116</v>
      </c>
      <c r="L126" s="59" t="str">
        <f t="shared" si="28"/>
        <v>Hastings</v>
      </c>
      <c r="M126" s="153">
        <f t="shared" si="29"/>
        <v>515.5</v>
      </c>
      <c r="N126" s="148">
        <f t="shared" si="39"/>
        <v>515.5</v>
      </c>
      <c r="O126" s="131" t="str">
        <f t="shared" si="30"/>
        <v/>
      </c>
      <c r="P126" s="131" t="str">
        <f t="shared" si="45"/>
        <v/>
      </c>
      <c r="Q126" s="131">
        <f t="shared" si="46"/>
        <v>515.5</v>
      </c>
      <c r="R126" s="127" t="str">
        <f t="shared" si="47"/>
        <v/>
      </c>
      <c r="S126" s="60" t="str">
        <f t="shared" si="40"/>
        <v/>
      </c>
      <c r="T126" s="228">
        <f>IF(L126="","",VLOOKUP(L126,classifications!C:K,9,FALSE))</f>
        <v>0</v>
      </c>
      <c r="U126" s="235" t="str">
        <f t="shared" si="31"/>
        <v/>
      </c>
      <c r="V126" s="236" t="str">
        <f>IF(U126="","",IF($I$8="A",(RANK(U126,U$11:U$355)+COUNTIF(U$11:U126,U126)-1),(RANK(U126,U$11:U$355,1)+COUNTIF(U$11:U126,U126)-1)))</f>
        <v/>
      </c>
      <c r="W126" s="237"/>
      <c r="X126" s="61" t="str">
        <f>IF(L126="","",VLOOKUP($L126,classifications!$C:$J,6,FALSE))</f>
        <v>Urban with City and Town</v>
      </c>
      <c r="Y126" s="49" t="str">
        <f t="shared" si="32"/>
        <v/>
      </c>
      <c r="Z126" s="57" t="str">
        <f>IF(Y126="","",IF(I$8="A",(RANK(Y126,Y$11:Y$355,1)+COUNTIF(Y$11:Y126,Y126)-1),(RANK(Y126,Y$11:Y$355)+COUNTIF(Y$11:Y126,Y126)-1)))</f>
        <v/>
      </c>
      <c r="AA126" s="242" t="str">
        <f>IF(L126="","",VLOOKUP($L126,classifications!C:I,7,FALSE))</f>
        <v>Predominantly Urban</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East Sussex</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South East</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f>HLOOKUP($AX$9&amp;$AX$10,Data!$A$1:$ZZ$2000,(MATCH($C126,Data!$A$1:$A$2000,0)),FALSE)</f>
        <v>592.79999999999995</v>
      </c>
      <c r="AY126" s="156"/>
      <c r="AZ126" s="44"/>
    </row>
    <row r="127" spans="1:52">
      <c r="A127" s="84" t="str">
        <f>$D$1&amp;117</f>
        <v>SD117</v>
      </c>
      <c r="B127" s="85">
        <f>IF(ISERROR(VLOOKUP(A127,classifications!A:C,3,FALSE)),0,VLOOKUP(A127,classifications!A:C,3,FALSE))</f>
        <v>0</v>
      </c>
      <c r="C127" s="31" t="s">
        <v>204</v>
      </c>
      <c r="D127" s="49" t="str">
        <f>VLOOKUP($C127,classifications!$C:$J,4,FALSE)</f>
        <v>L</v>
      </c>
      <c r="E127" s="49">
        <f>VLOOKUP(C127,classifications!C:K,9,FALSE)</f>
        <v>0</v>
      </c>
      <c r="F127" s="59">
        <f t="shared" si="26"/>
        <v>616.9</v>
      </c>
      <c r="G127" s="105"/>
      <c r="H127" s="60" t="str">
        <f t="shared" si="27"/>
        <v/>
      </c>
      <c r="I127" s="112" t="str">
        <f>IF(H127="","",IF($I$8="A",(RANK(H127,H$11:H$355,1)+COUNTIF(H$11:H127,H127)-1),(RANK(H127,H$11:H$355)+COUNTIF(H$11:H127,H127)-1)))</f>
        <v/>
      </c>
      <c r="J127" s="58"/>
      <c r="K127" s="51">
        <f t="shared" si="38"/>
        <v>117</v>
      </c>
      <c r="L127" s="59" t="str">
        <f t="shared" si="28"/>
        <v>Carlisle</v>
      </c>
      <c r="M127" s="153">
        <f t="shared" si="29"/>
        <v>518.20000000000005</v>
      </c>
      <c r="N127" s="148">
        <f t="shared" si="39"/>
        <v>518.20000000000005</v>
      </c>
      <c r="O127" s="131" t="str">
        <f t="shared" si="30"/>
        <v/>
      </c>
      <c r="P127" s="131" t="str">
        <f t="shared" si="45"/>
        <v/>
      </c>
      <c r="Q127" s="131">
        <f t="shared" si="46"/>
        <v>518.20000000000005</v>
      </c>
      <c r="R127" s="127" t="str">
        <f t="shared" si="47"/>
        <v/>
      </c>
      <c r="S127" s="60" t="str">
        <f t="shared" si="40"/>
        <v/>
      </c>
      <c r="T127" s="228">
        <f>IF(L127="","",VLOOKUP(L127,classifications!C:K,9,FALSE))</f>
        <v>0</v>
      </c>
      <c r="U127" s="235" t="str">
        <f t="shared" si="31"/>
        <v/>
      </c>
      <c r="V127" s="236" t="str">
        <f>IF(U127="","",IF($I$8="A",(RANK(U127,U$11:U$355)+COUNTIF(U$11:U127,U127)-1),(RANK(U127,U$11:U$355,1)+COUNTIF(U$11:U127,U127)-1)))</f>
        <v/>
      </c>
      <c r="W127" s="237"/>
      <c r="X127" s="61" t="str">
        <f>IF(L127="","",VLOOKUP($L127,classifications!$C:$J,6,FALSE))</f>
        <v>Urban with Significant Rural (rural including hub towns 26-49%)</v>
      </c>
      <c r="Y127" s="49" t="str">
        <f t="shared" si="32"/>
        <v/>
      </c>
      <c r="Z127" s="57" t="str">
        <f>IF(Y127="","",IF(I$8="A",(RANK(Y127,Y$11:Y$355,1)+COUNTIF(Y$11:Y127,Y127)-1),(RANK(Y127,Y$11:Y$355)+COUNTIF(Y$11:Y127,Y127)-1)))</f>
        <v/>
      </c>
      <c r="AA127" s="242" t="str">
        <f>IF(L127="","",VLOOKUP($L127,classifications!C:I,7,FALSE))</f>
        <v>Significant Rural</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Cumbria</v>
      </c>
      <c r="AJ127" s="62">
        <f t="shared" si="33"/>
        <v>518.20000000000005</v>
      </c>
      <c r="AK127" s="57">
        <f>IF(AJ127="","",IF(I$8="A",(RANK(AJ127,AJ$11:AJ$355,1)+COUNTIF(AJ$11:AJ127,AJ127)-1),(RANK(AJ127,AJ$11:AJ$355)+COUNTIF(AJ$11:AJ127,AJ127)-1)))</f>
        <v>3</v>
      </c>
      <c r="AL127" s="52" t="str">
        <f t="shared" si="42"/>
        <v/>
      </c>
      <c r="AM127" s="31" t="str">
        <f t="shared" si="34"/>
        <v/>
      </c>
      <c r="AN127" s="31" t="str">
        <f t="shared" si="35"/>
        <v/>
      </c>
      <c r="AP127" s="61" t="str">
        <f>IF(L127="","",VLOOKUP($L127,classifications!$C:$E,3,FALSE))</f>
        <v>North West</v>
      </c>
      <c r="AQ127" s="62">
        <f t="shared" si="43"/>
        <v>518.20000000000005</v>
      </c>
      <c r="AR127" s="57">
        <f>IF(AQ127="","",IF(I$8="A",(RANK(AQ127,AQ$11:AQ$355,1)+COUNTIF(AQ$11:AQ127,AQ127)-1),(RANK(AQ127,AQ$11:AQ$355)+COUNTIF(AQ$11:AQ127,AQ127)-1)))</f>
        <v>9</v>
      </c>
      <c r="AS127" s="52" t="str">
        <f t="shared" si="44"/>
        <v/>
      </c>
      <c r="AT127" s="57" t="str">
        <f t="shared" si="36"/>
        <v/>
      </c>
      <c r="AU127" s="62" t="str">
        <f t="shared" si="37"/>
        <v/>
      </c>
      <c r="AX127" s="44">
        <f>HLOOKUP($AX$9&amp;$AX$10,Data!$A$1:$ZZ$2000,(MATCH($C127,Data!$A$1:$A$2000,0)),FALSE)</f>
        <v>616.9</v>
      </c>
      <c r="AY127" s="156"/>
      <c r="AZ127" s="44"/>
    </row>
    <row r="128" spans="1:52">
      <c r="A128" s="84" t="str">
        <f>$D$1&amp;118</f>
        <v>SD118</v>
      </c>
      <c r="B128" s="85">
        <f>IF(ISERROR(VLOOKUP(A128,classifications!A:C,3,FALSE)),0,VLOOKUP(A128,classifications!A:C,3,FALSE))</f>
        <v>0</v>
      </c>
      <c r="C128" s="31" t="s">
        <v>77</v>
      </c>
      <c r="D128" s="49" t="str">
        <f>VLOOKUP($C128,classifications!$C:$J,4,FALSE)</f>
        <v>SD</v>
      </c>
      <c r="E128" s="49">
        <f>VLOOKUP(C128,classifications!C:K,9,FALSE)</f>
        <v>0</v>
      </c>
      <c r="F128" s="59">
        <f t="shared" si="26"/>
        <v>389.2</v>
      </c>
      <c r="G128" s="105"/>
      <c r="H128" s="60">
        <f t="shared" si="27"/>
        <v>389.2</v>
      </c>
      <c r="I128" s="112">
        <f>IF(H128="","",IF($I$8="A",(RANK(H128,H$11:H$355,1)+COUNTIF(H$11:H128,H128)-1),(RANK(H128,H$11:H$355)+COUNTIF(H$11:H128,H128)-1)))</f>
        <v>21</v>
      </c>
      <c r="J128" s="58"/>
      <c r="K128" s="51">
        <f t="shared" si="38"/>
        <v>118</v>
      </c>
      <c r="L128" s="59" t="str">
        <f t="shared" si="28"/>
        <v>East Staffordshire</v>
      </c>
      <c r="M128" s="153">
        <f t="shared" si="29"/>
        <v>522.5</v>
      </c>
      <c r="N128" s="148">
        <f t="shared" si="39"/>
        <v>522.5</v>
      </c>
      <c r="O128" s="131" t="str">
        <f t="shared" si="30"/>
        <v/>
      </c>
      <c r="P128" s="131" t="str">
        <f t="shared" si="45"/>
        <v/>
      </c>
      <c r="Q128" s="131">
        <f t="shared" si="46"/>
        <v>522.5</v>
      </c>
      <c r="R128" s="127" t="str">
        <f t="shared" si="47"/>
        <v/>
      </c>
      <c r="S128" s="60" t="str">
        <f t="shared" si="40"/>
        <v/>
      </c>
      <c r="T128" s="228">
        <f>IF(L128="","",VLOOKUP(L128,classifications!C:K,9,FALSE))</f>
        <v>0</v>
      </c>
      <c r="U128" s="235" t="str">
        <f t="shared" si="31"/>
        <v/>
      </c>
      <c r="V128" s="236" t="str">
        <f>IF(U128="","",IF($I$8="A",(RANK(U128,U$11:U$355)+COUNTIF(U$11:U128,U128)-1),(RANK(U128,U$11:U$355,1)+COUNTIF(U$11:U128,U128)-1)))</f>
        <v/>
      </c>
      <c r="W128" s="237"/>
      <c r="X128" s="61" t="str">
        <f>IF(L128="","",VLOOKUP($L128,classifications!$C:$J,6,FALSE))</f>
        <v>Urban with Significant Rural (rural including hub towns 26-49%)</v>
      </c>
      <c r="Y128" s="49" t="str">
        <f t="shared" si="32"/>
        <v/>
      </c>
      <c r="Z128" s="57" t="str">
        <f>IF(Y128="","",IF(I$8="A",(RANK(Y128,Y$11:Y$355,1)+COUNTIF(Y$11:Y128,Y128)-1),(RANK(Y128,Y$11:Y$355)+COUNTIF(Y$11:Y128,Y128)-1)))</f>
        <v/>
      </c>
      <c r="AA128" s="242" t="str">
        <f>IF(L128="","",VLOOKUP($L128,classifications!C:I,7,FALSE))</f>
        <v>Significant Rural</v>
      </c>
      <c r="AB128" s="236" t="str">
        <f t="shared" si="41"/>
        <v/>
      </c>
      <c r="AC128" s="236" t="str">
        <f>IF(AB128="","",IF($I$8="A",(RANK(AB128,AB$11:AB$355)+COUNTIF(AB$11:AB128,AB128)-1),(RANK(AB128,AB$11:AB$355,1)+COUNTIF(AB$11:AB128,AB128)-1)))</f>
        <v/>
      </c>
      <c r="AD128" s="236"/>
      <c r="AE128" s="51" t="str">
        <f t="shared" si="48"/>
        <v/>
      </c>
      <c r="AG128" s="143"/>
      <c r="AH128" s="52"/>
      <c r="AI128" s="61" t="str">
        <f>IF(L128="","",VLOOKUP($L128,classifications!$C:$J,8,FALSE))</f>
        <v>Staffordshire</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West Midlands</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389.2</v>
      </c>
      <c r="AY128" s="156"/>
      <c r="AZ128" s="44"/>
    </row>
    <row r="129" spans="1:52">
      <c r="A129" s="84" t="str">
        <f>$D$1&amp;119</f>
        <v>SD119</v>
      </c>
      <c r="B129" s="85">
        <f>IF(ISERROR(VLOOKUP(A129,classifications!A:C,3,FALSE)),0,VLOOKUP(A129,classifications!A:C,3,FALSE))</f>
        <v>0</v>
      </c>
      <c r="C129" s="31" t="s">
        <v>205</v>
      </c>
      <c r="D129" s="49" t="str">
        <f>VLOOKUP($C129,classifications!$C:$J,4,FALSE)</f>
        <v>L</v>
      </c>
      <c r="E129" s="49">
        <f>VLOOKUP(C129,classifications!C:K,9,FALSE)</f>
        <v>0</v>
      </c>
      <c r="F129" s="59">
        <f t="shared" si="26"/>
        <v>547.5</v>
      </c>
      <c r="G129" s="105"/>
      <c r="H129" s="60" t="str">
        <f t="shared" si="27"/>
        <v/>
      </c>
      <c r="I129" s="112" t="str">
        <f>IF(H129="","",IF($I$8="A",(RANK(H129,H$11:H$355,1)+COUNTIF(H$11:H129,H129)-1),(RANK(H129,H$11:H$355)+COUNTIF(H$11:H129,H129)-1)))</f>
        <v/>
      </c>
      <c r="J129" s="58"/>
      <c r="K129" s="51">
        <f t="shared" si="38"/>
        <v>119</v>
      </c>
      <c r="L129" s="59" t="str">
        <f t="shared" si="28"/>
        <v>Test Valley</v>
      </c>
      <c r="M129" s="153">
        <f t="shared" si="29"/>
        <v>523.29999999999995</v>
      </c>
      <c r="N129" s="148">
        <f t="shared" si="39"/>
        <v>523.29999999999995</v>
      </c>
      <c r="O129" s="131" t="str">
        <f t="shared" si="30"/>
        <v/>
      </c>
      <c r="P129" s="131" t="str">
        <f t="shared" si="45"/>
        <v/>
      </c>
      <c r="Q129" s="131">
        <f t="shared" si="46"/>
        <v>523.29999999999995</v>
      </c>
      <c r="R129" s="127" t="str">
        <f t="shared" si="47"/>
        <v/>
      </c>
      <c r="S129" s="60" t="str">
        <f t="shared" si="40"/>
        <v/>
      </c>
      <c r="T129" s="228">
        <f>IF(L129="","",VLOOKUP(L129,classifications!C:K,9,FALSE))</f>
        <v>0</v>
      </c>
      <c r="U129" s="235" t="str">
        <f t="shared" si="31"/>
        <v/>
      </c>
      <c r="V129" s="236" t="str">
        <f>IF(U129="","",IF($I$8="A",(RANK(U129,U$11:U$355)+COUNTIF(U$11:U129,U129)-1),(RANK(U129,U$11:U$355,1)+COUNTIF(U$11:U129,U129)-1)))</f>
        <v/>
      </c>
      <c r="W129" s="237"/>
      <c r="X129" s="61" t="str">
        <f>IF(L129="","",VLOOKUP($L129,classifications!$C:$J,6,FALSE))</f>
        <v>Urban with Significant Rural (rural including hub towns 26-49%)</v>
      </c>
      <c r="Y129" s="49" t="str">
        <f t="shared" si="32"/>
        <v/>
      </c>
      <c r="Z129" s="57" t="str">
        <f>IF(Y129="","",IF(I$8="A",(RANK(Y129,Y$11:Y$355,1)+COUNTIF(Y$11:Y129,Y129)-1),(RANK(Y129,Y$11:Y$355)+COUNTIF(Y$11:Y129,Y129)-1)))</f>
        <v/>
      </c>
      <c r="AA129" s="242" t="str">
        <f>IF(L129="","",VLOOKUP($L129,classifications!C:I,7,FALSE))</f>
        <v>Significant Rural</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Hampshire</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South East</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547.5</v>
      </c>
      <c r="AY129" s="156"/>
      <c r="AZ129" s="44"/>
    </row>
    <row r="130" spans="1:52">
      <c r="A130" s="84" t="str">
        <f>$D$1&amp;120</f>
        <v>SD120</v>
      </c>
      <c r="B130" s="85">
        <f>IF(ISERROR(VLOOKUP(A130,classifications!A:C,3,FALSE)),0,VLOOKUP(A130,classifications!A:C,3,FALSE))</f>
        <v>0</v>
      </c>
      <c r="C130" s="31" t="s">
        <v>268</v>
      </c>
      <c r="D130" s="49" t="str">
        <f>VLOOKUP($C130,classifications!$C:$J,4,FALSE)</f>
        <v>UA</v>
      </c>
      <c r="E130" s="49">
        <f>VLOOKUP(C130,classifications!C:K,9,FALSE)</f>
        <v>0</v>
      </c>
      <c r="F130" s="59">
        <f t="shared" si="26"/>
        <v>621.79999999999995</v>
      </c>
      <c r="G130" s="105"/>
      <c r="H130" s="60" t="str">
        <f t="shared" si="27"/>
        <v/>
      </c>
      <c r="I130" s="112" t="str">
        <f>IF(H130="","",IF($I$8="A",(RANK(H130,H$11:H$355,1)+COUNTIF(H$11:H130,H130)-1),(RANK(H130,H$11:H$355)+COUNTIF(H$11:H130,H130)-1)))</f>
        <v/>
      </c>
      <c r="J130" s="58"/>
      <c r="K130" s="51">
        <f t="shared" si="38"/>
        <v>120</v>
      </c>
      <c r="L130" s="59" t="str">
        <f t="shared" si="28"/>
        <v>Rossendale</v>
      </c>
      <c r="M130" s="153">
        <f t="shared" si="29"/>
        <v>524</v>
      </c>
      <c r="N130" s="148">
        <f t="shared" si="39"/>
        <v>524</v>
      </c>
      <c r="O130" s="131" t="str">
        <f t="shared" si="30"/>
        <v/>
      </c>
      <c r="P130" s="131" t="str">
        <f t="shared" si="45"/>
        <v/>
      </c>
      <c r="Q130" s="131">
        <f t="shared" si="46"/>
        <v>524</v>
      </c>
      <c r="R130" s="127" t="str">
        <f t="shared" si="47"/>
        <v/>
      </c>
      <c r="S130" s="60" t="str">
        <f t="shared" si="40"/>
        <v/>
      </c>
      <c r="T130" s="228">
        <f>IF(L130="","",VLOOKUP(L130,classifications!C:K,9,FALSE))</f>
        <v>0</v>
      </c>
      <c r="U130" s="235" t="str">
        <f t="shared" si="31"/>
        <v/>
      </c>
      <c r="V130" s="236" t="str">
        <f>IF(U130="","",IF($I$8="A",(RANK(U130,U$11:U$355)+COUNTIF(U$11:U130,U130)-1),(RANK(U130,U$11:U$355,1)+COUNTIF(U$11:U130,U130)-1)))</f>
        <v/>
      </c>
      <c r="W130" s="237"/>
      <c r="X130" s="61" t="str">
        <f>IF(L130="","",VLOOKUP($L130,classifications!$C:$J,6,FALSE))</f>
        <v>Urban with City and Town</v>
      </c>
      <c r="Y130" s="49" t="str">
        <f t="shared" si="32"/>
        <v/>
      </c>
      <c r="Z130" s="57" t="str">
        <f>IF(Y130="","",IF(I$8="A",(RANK(Y130,Y$11:Y$355,1)+COUNTIF(Y$11:Y130,Y130)-1),(RANK(Y130,Y$11:Y$355)+COUNTIF(Y$11:Y130,Y130)-1)))</f>
        <v/>
      </c>
      <c r="AA130" s="242" t="str">
        <f>IF(L130="","",VLOOKUP($L130,classifications!C:I,7,FALSE))</f>
        <v>Predominantly Urban</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Lancashire</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North West</v>
      </c>
      <c r="AQ130" s="62">
        <f t="shared" si="43"/>
        <v>524</v>
      </c>
      <c r="AR130" s="57">
        <f>IF(AQ130="","",IF(I$8="A",(RANK(AQ130,AQ$11:AQ$355,1)+COUNTIF(AQ$11:AQ130,AQ130)-1),(RANK(AQ130,AQ$11:AQ$355)+COUNTIF(AQ$11:AQ130,AQ130)-1)))</f>
        <v>10</v>
      </c>
      <c r="AS130" s="52" t="str">
        <f t="shared" si="44"/>
        <v/>
      </c>
      <c r="AT130" s="57" t="str">
        <f t="shared" si="36"/>
        <v/>
      </c>
      <c r="AU130" s="62" t="str">
        <f t="shared" si="37"/>
        <v/>
      </c>
      <c r="AX130" s="44">
        <f>HLOOKUP($AX$9&amp;$AX$10,Data!$A$1:$ZZ$2000,(MATCH($C130,Data!$A$1:$A$2000,0)),FALSE)</f>
        <v>621.79999999999995</v>
      </c>
      <c r="AY130" s="156"/>
      <c r="AZ130" s="44"/>
    </row>
    <row r="131" spans="1:52">
      <c r="A131" s="84" t="str">
        <f>$D$1&amp;121</f>
        <v>SD121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440.8</v>
      </c>
      <c r="G131" s="105"/>
      <c r="H131" s="60">
        <f t="shared" si="27"/>
        <v>440.8</v>
      </c>
      <c r="I131" s="112">
        <f>IF(H131="","",IF($I$8="A",(RANK(H131,H$11:H$355,1)+COUNTIF(H$11:H131,H131)-1),(RANK(H131,H$11:H$355)+COUNTIF(H$11:H131,H131)-1)))</f>
        <v>51</v>
      </c>
      <c r="J131" s="58"/>
      <c r="K131" s="51">
        <f t="shared" si="38"/>
        <v>121</v>
      </c>
      <c r="L131" s="59" t="str">
        <f t="shared" si="28"/>
        <v>Chorley</v>
      </c>
      <c r="M131" s="153">
        <f t="shared" si="29"/>
        <v>524.29999999999995</v>
      </c>
      <c r="N131" s="148">
        <f t="shared" si="39"/>
        <v>524.29999999999995</v>
      </c>
      <c r="O131" s="131" t="str">
        <f t="shared" si="30"/>
        <v/>
      </c>
      <c r="P131" s="131" t="str">
        <f t="shared" si="45"/>
        <v/>
      </c>
      <c r="Q131" s="131">
        <f t="shared" si="46"/>
        <v>524.29999999999995</v>
      </c>
      <c r="R131" s="127" t="str">
        <f t="shared" si="47"/>
        <v/>
      </c>
      <c r="S131" s="60" t="str">
        <f t="shared" si="40"/>
        <v/>
      </c>
      <c r="T131" s="228">
        <f>IF(L131="","",VLOOKUP(L131,classifications!C:K,9,FALSE))</f>
        <v>0</v>
      </c>
      <c r="U131" s="235" t="str">
        <f t="shared" si="31"/>
        <v/>
      </c>
      <c r="V131" s="236" t="str">
        <f>IF(U131="","",IF($I$8="A",(RANK(U131,U$11:U$355)+COUNTIF(U$11:U131,U131)-1),(RANK(U131,U$11:U$355,1)+COUNTIF(U$11:U131,U131)-1)))</f>
        <v/>
      </c>
      <c r="W131" s="237"/>
      <c r="X131" s="61" t="str">
        <f>IF(L131="","",VLOOKUP($L131,classifications!$C:$J,6,FALSE))</f>
        <v>Urban with Significant Rural (rural including hub towns 26-49%)</v>
      </c>
      <c r="Y131" s="49" t="str">
        <f t="shared" si="32"/>
        <v/>
      </c>
      <c r="Z131" s="57" t="str">
        <f>IF(Y131="","",IF(I$8="A",(RANK(Y131,Y$11:Y$355,1)+COUNTIF(Y$11:Y131,Y131)-1),(RANK(Y131,Y$11:Y$355)+COUNTIF(Y$11:Y131,Y131)-1)))</f>
        <v/>
      </c>
      <c r="AA131" s="242" t="str">
        <f>IF(L131="","",VLOOKUP($L131,classifications!C:I,7,FALSE))</f>
        <v>Significant Rural</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Lancashire</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North West</v>
      </c>
      <c r="AQ131" s="62">
        <f t="shared" si="43"/>
        <v>524.29999999999995</v>
      </c>
      <c r="AR131" s="57">
        <f>IF(AQ131="","",IF(I$8="A",(RANK(AQ131,AQ$11:AQ$355,1)+COUNTIF(AQ$11:AQ131,AQ131)-1),(RANK(AQ131,AQ$11:AQ$355)+COUNTIF(AQ$11:AQ131,AQ131)-1)))</f>
        <v>11</v>
      </c>
      <c r="AS131" s="52" t="str">
        <f t="shared" si="44"/>
        <v/>
      </c>
      <c r="AT131" s="57" t="str">
        <f t="shared" si="36"/>
        <v/>
      </c>
      <c r="AU131" s="62" t="str">
        <f t="shared" si="37"/>
        <v/>
      </c>
      <c r="AX131" s="44">
        <f>HLOOKUP($AX$9&amp;$AX$10,Data!$A$1:$ZZ$2000,(MATCH($C131,Data!$A$1:$A$2000,0)),FALSE)</f>
        <v>440.8</v>
      </c>
      <c r="AY131" s="156"/>
      <c r="AZ131" s="44"/>
    </row>
    <row r="132" spans="1:52">
      <c r="A132" s="84" t="str">
        <f>$D$1&amp;122</f>
        <v>SD122</v>
      </c>
      <c r="B132" s="85">
        <f>IF(ISERROR(VLOOKUP(A132,classifications!A:C,3,FALSE)),0,VLOOKUP(A132,classifications!A:C,3,FALSE))</f>
        <v>0</v>
      </c>
      <c r="C132" s="31" t="s">
        <v>336</v>
      </c>
      <c r="D132" s="49" t="str">
        <f>VLOOKUP($C132,classifications!$C:$J,4,FALSE)</f>
        <v>L</v>
      </c>
      <c r="E132" s="49">
        <f>VLOOKUP(C132,classifications!C:K,9,FALSE)</f>
        <v>0</v>
      </c>
      <c r="F132" s="59">
        <f t="shared" si="26"/>
        <v>359.9</v>
      </c>
      <c r="G132" s="105"/>
      <c r="H132" s="60" t="str">
        <f t="shared" si="27"/>
        <v/>
      </c>
      <c r="I132" s="112" t="str">
        <f>IF(H132="","",IF($I$8="A",(RANK(H132,H$11:H$355,1)+COUNTIF(H$11:H132,H132)-1),(RANK(H132,H$11:H$355)+COUNTIF(H$11:H132,H132)-1)))</f>
        <v/>
      </c>
      <c r="J132" s="58"/>
      <c r="K132" s="51">
        <f t="shared" si="38"/>
        <v>122</v>
      </c>
      <c r="L132" s="59" t="str">
        <f t="shared" si="28"/>
        <v>Burnley</v>
      </c>
      <c r="M132" s="153">
        <f t="shared" si="29"/>
        <v>525</v>
      </c>
      <c r="N132" s="148">
        <f t="shared" si="39"/>
        <v>525</v>
      </c>
      <c r="O132" s="131" t="str">
        <f t="shared" si="30"/>
        <v/>
      </c>
      <c r="P132" s="131" t="str">
        <f t="shared" si="45"/>
        <v/>
      </c>
      <c r="Q132" s="131">
        <f t="shared" si="46"/>
        <v>525</v>
      </c>
      <c r="R132" s="127" t="str">
        <f t="shared" si="47"/>
        <v/>
      </c>
      <c r="S132" s="60" t="str">
        <f t="shared" si="40"/>
        <v/>
      </c>
      <c r="T132" s="228">
        <f>IF(L132="","",VLOOKUP(L132,classifications!C:K,9,FALSE))</f>
        <v>0</v>
      </c>
      <c r="U132" s="235" t="str">
        <f t="shared" si="31"/>
        <v/>
      </c>
      <c r="V132" s="236" t="str">
        <f>IF(U132="","",IF($I$8="A",(RANK(U132,U$11:U$355)+COUNTIF(U$11:U132,U132)-1),(RANK(U132,U$11:U$355,1)+COUNTIF(U$11:U132,U132)-1)))</f>
        <v/>
      </c>
      <c r="W132" s="237"/>
      <c r="X132" s="61" t="str">
        <f>IF(L132="","",VLOOKUP($L132,classifications!$C:$J,6,FALSE))</f>
        <v>Urban with City and Town</v>
      </c>
      <c r="Y132" s="49" t="str">
        <f t="shared" si="32"/>
        <v/>
      </c>
      <c r="Z132" s="57" t="str">
        <f>IF(Y132="","",IF(I$8="A",(RANK(Y132,Y$11:Y$355,1)+COUNTIF(Y$11:Y132,Y132)-1),(RANK(Y132,Y$11:Y$355)+COUNTIF(Y$11:Y132,Y132)-1)))</f>
        <v/>
      </c>
      <c r="AA132" s="242" t="str">
        <f>IF(L132="","",VLOOKUP($L132,classifications!C:I,7,FALSE))</f>
        <v>Predominantly Urban</v>
      </c>
      <c r="AB132" s="236" t="str">
        <f t="shared" si="41"/>
        <v/>
      </c>
      <c r="AC132" s="236" t="str">
        <f>IF(AB132="","",IF($I$8="A",(RANK(AB132,AB$11:AB$355)+COUNTIF(AB$11:AB132,AB132)-1),(RANK(AB132,AB$11:AB$355,1)+COUNTIF(AB$11:AB132,AB132)-1)))</f>
        <v/>
      </c>
      <c r="AD132" s="236"/>
      <c r="AE132" s="51" t="str">
        <f t="shared" si="48"/>
        <v/>
      </c>
      <c r="AG132" s="143"/>
      <c r="AH132" s="52"/>
      <c r="AI132" s="61" t="str">
        <f>IF(L132="","",VLOOKUP($L132,classifications!$C:$J,8,FALSE))</f>
        <v>Lancashire</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North West</v>
      </c>
      <c r="AQ132" s="62">
        <f t="shared" si="43"/>
        <v>525</v>
      </c>
      <c r="AR132" s="57">
        <f>IF(AQ132="","",IF(I$8="A",(RANK(AQ132,AQ$11:AQ$355,1)+COUNTIF(AQ$11:AQ132,AQ132)-1),(RANK(AQ132,AQ$11:AQ$355)+COUNTIF(AQ$11:AQ132,AQ132)-1)))</f>
        <v>12</v>
      </c>
      <c r="AS132" s="52" t="str">
        <f t="shared" si="44"/>
        <v/>
      </c>
      <c r="AT132" s="57" t="str">
        <f t="shared" si="36"/>
        <v/>
      </c>
      <c r="AU132" s="62" t="str">
        <f t="shared" si="37"/>
        <v/>
      </c>
      <c r="AX132" s="44">
        <f>HLOOKUP($AX$9&amp;$AX$10,Data!$A$1:$ZZ$2000,(MATCH($C132,Data!$A$1:$A$2000,0)),FALSE)</f>
        <v>359.9</v>
      </c>
      <c r="AY132" s="156"/>
      <c r="AZ132" s="44"/>
    </row>
    <row r="133" spans="1:52">
      <c r="A133" s="84" t="str">
        <f>$D$1&amp;123</f>
        <v>SD123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600.79999999999995</v>
      </c>
      <c r="G133" s="105"/>
      <c r="H133" s="60" t="str">
        <f t="shared" si="27"/>
        <v/>
      </c>
      <c r="I133" s="112" t="str">
        <f>IF(H133="","",IF($I$8="A",(RANK(H133,H$11:H$355,1)+COUNTIF(H$11:H133,H133)-1),(RANK(H133,H$11:H$355)+COUNTIF(H$11:H133,H133)-1)))</f>
        <v/>
      </c>
      <c r="J133" s="58"/>
      <c r="K133" s="51">
        <f t="shared" si="38"/>
        <v>123</v>
      </c>
      <c r="L133" s="59" t="str">
        <f t="shared" si="28"/>
        <v>Crawley</v>
      </c>
      <c r="M133" s="153">
        <f t="shared" si="29"/>
        <v>525.1</v>
      </c>
      <c r="N133" s="148">
        <f t="shared" si="39"/>
        <v>525.1</v>
      </c>
      <c r="O133" s="131" t="str">
        <f t="shared" si="30"/>
        <v/>
      </c>
      <c r="P133" s="131" t="str">
        <f t="shared" si="45"/>
        <v/>
      </c>
      <c r="Q133" s="131">
        <f t="shared" si="46"/>
        <v>525.1</v>
      </c>
      <c r="R133" s="127" t="str">
        <f t="shared" si="47"/>
        <v/>
      </c>
      <c r="S133" s="60" t="str">
        <f t="shared" si="40"/>
        <v/>
      </c>
      <c r="T133" s="228">
        <f>IF(L133="","",VLOOKUP(L133,classifications!C:K,9,FALSE))</f>
        <v>0</v>
      </c>
      <c r="U133" s="235" t="str">
        <f t="shared" si="31"/>
        <v/>
      </c>
      <c r="V133" s="236" t="str">
        <f>IF(U133="","",IF($I$8="A",(RANK(U133,U$11:U$355)+COUNTIF(U$11:U133,U133)-1),(RANK(U133,U$11:U$355,1)+COUNTIF(U$11:U133,U133)-1)))</f>
        <v/>
      </c>
      <c r="W133" s="237"/>
      <c r="X133" s="61" t="str">
        <f>IF(L133="","",VLOOKUP($L133,classifications!$C:$J,6,FALSE))</f>
        <v>Urban with City and Town</v>
      </c>
      <c r="Y133" s="49" t="str">
        <f t="shared" si="32"/>
        <v/>
      </c>
      <c r="Z133" s="57" t="str">
        <f>IF(Y133="","",IF(I$8="A",(RANK(Y133,Y$11:Y$355,1)+COUNTIF(Y$11:Y133,Y133)-1),(RANK(Y133,Y$11:Y$355)+COUNTIF(Y$11:Y133,Y133)-1)))</f>
        <v/>
      </c>
      <c r="AA133" s="242" t="str">
        <f>IF(L133="","",VLOOKUP($L133,classifications!C:I,7,FALSE))</f>
        <v>Predominantly Urban</v>
      </c>
      <c r="AB133" s="236" t="str">
        <f t="shared" si="41"/>
        <v/>
      </c>
      <c r="AC133" s="236" t="str">
        <f>IF(AB133="","",IF($I$8="A",(RANK(AB133,AB$11:AB$355)+COUNTIF(AB$11:AB133,AB133)-1),(RANK(AB133,AB$11:AB$355,1)+COUNTIF(AB$11:AB133,AB133)-1)))</f>
        <v/>
      </c>
      <c r="AD133" s="236"/>
      <c r="AE133" s="51" t="str">
        <f t="shared" si="48"/>
        <v/>
      </c>
      <c r="AG133" s="143"/>
      <c r="AH133" s="52"/>
      <c r="AI133" s="61" t="str">
        <f>IF(L133="","",VLOOKUP($L133,classifications!$C:$J,8,FALSE))</f>
        <v>West Sussex</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South East</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600.79999999999995</v>
      </c>
      <c r="AY133" s="156"/>
      <c r="AZ133" s="44"/>
    </row>
    <row r="134" spans="1:52">
      <c r="A134" s="84" t="str">
        <f>$D$1&amp;124</f>
        <v>SD124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512.1</v>
      </c>
      <c r="G134" s="105"/>
      <c r="H134" s="60">
        <f t="shared" si="27"/>
        <v>512.1</v>
      </c>
      <c r="I134" s="112">
        <f>IF(H134="","",IF($I$8="A",(RANK(H134,H$11:H$355,1)+COUNTIF(H$11:H134,H134)-1),(RANK(H134,H$11:H$355)+COUNTIF(H$11:H134,H134)-1)))</f>
        <v>114</v>
      </c>
      <c r="J134" s="58"/>
      <c r="K134" s="51">
        <f t="shared" si="38"/>
        <v>124</v>
      </c>
      <c r="L134" s="59" t="str">
        <f t="shared" si="28"/>
        <v>Richmondshire</v>
      </c>
      <c r="M134" s="153">
        <f t="shared" si="29"/>
        <v>525.1</v>
      </c>
      <c r="N134" s="148">
        <f t="shared" si="39"/>
        <v>525.1</v>
      </c>
      <c r="O134" s="131" t="str">
        <f t="shared" si="30"/>
        <v/>
      </c>
      <c r="P134" s="131" t="str">
        <f t="shared" si="45"/>
        <v/>
      </c>
      <c r="Q134" s="131">
        <f t="shared" si="46"/>
        <v>525.1</v>
      </c>
      <c r="R134" s="127" t="str">
        <f t="shared" si="47"/>
        <v/>
      </c>
      <c r="S134" s="60" t="str">
        <f t="shared" si="40"/>
        <v/>
      </c>
      <c r="T134" s="228" t="str">
        <f>IF(L134="","",VLOOKUP(L134,classifications!C:K,9,FALSE))</f>
        <v>Sparse</v>
      </c>
      <c r="U134" s="235">
        <f t="shared" si="31"/>
        <v>525.1</v>
      </c>
      <c r="V134" s="236">
        <f>IF(U134="","",IF($I$8="A",(RANK(U134,U$11:U$355)+COUNTIF(U$11:U134,U134)-1),(RANK(U134,U$11:U$355,1)+COUNTIF(U$11:U134,U134)-1)))</f>
        <v>16</v>
      </c>
      <c r="W134" s="237"/>
      <c r="X134" s="61" t="str">
        <f>IF(L134="","",VLOOKUP($L134,classifications!$C:$J,6,FALSE))</f>
        <v xml:space="preserve">Mainly Rural (rural including hub towns &gt;=80%) </v>
      </c>
      <c r="Y134" s="49">
        <f t="shared" si="32"/>
        <v>525.1</v>
      </c>
      <c r="Z134" s="57">
        <f>IF(Y134="","",IF(I$8="A",(RANK(Y134,Y$11:Y$355,1)+COUNTIF(Y$11:Y134,Y134)-1),(RANK(Y134,Y$11:Y$355)+COUNTIF(Y$11:Y134,Y134)-1)))</f>
        <v>30</v>
      </c>
      <c r="AA134" s="242" t="str">
        <f>IF(L134="","",VLOOKUP($L134,classifications!C:I,7,FALSE))</f>
        <v>Predominantly Rural</v>
      </c>
      <c r="AB134" s="236">
        <f t="shared" si="41"/>
        <v>525.1</v>
      </c>
      <c r="AC134" s="236">
        <f>IF(AB134="","",IF($I$8="A",(RANK(AB134,AB$11:AB$355)+COUNTIF(AB$11:AB134,AB134)-1),(RANK(AB134,AB$11:AB$355,1)+COUNTIF(AB$11:AB134,AB134)-1)))</f>
        <v>21</v>
      </c>
      <c r="AD134" s="236"/>
      <c r="AE134" s="51" t="str">
        <f t="shared" si="48"/>
        <v/>
      </c>
      <c r="AG134" s="143"/>
      <c r="AH134" s="52"/>
      <c r="AI134" s="61" t="str">
        <f>IF(L134="","",VLOOKUP($L134,classifications!$C:$J,8,FALSE))</f>
        <v>North Yorkshire</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Yorkshire &amp; Humberside</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512.1</v>
      </c>
      <c r="AY134" s="156"/>
      <c r="AZ134" s="44"/>
    </row>
    <row r="135" spans="1:52">
      <c r="A135" s="84" t="str">
        <f>$D$1&amp;125</f>
        <v>SD125</v>
      </c>
      <c r="B135" s="85">
        <f>IF(ISERROR(VLOOKUP(A135,classifications!A:C,3,FALSE)),0,VLOOKUP(A135,classifications!A:C,3,FALSE))</f>
        <v>0</v>
      </c>
      <c r="C135" s="31" t="s">
        <v>206</v>
      </c>
      <c r="D135" s="49" t="str">
        <f>VLOOKUP($C135,classifications!$C:$J,4,FALSE)</f>
        <v>L</v>
      </c>
      <c r="E135" s="49">
        <f>VLOOKUP(C135,classifications!C:K,9,FALSE)</f>
        <v>0</v>
      </c>
      <c r="F135" s="59">
        <f t="shared" si="26"/>
        <v>529</v>
      </c>
      <c r="G135" s="105"/>
      <c r="H135" s="60" t="str">
        <f t="shared" si="27"/>
        <v/>
      </c>
      <c r="I135" s="112" t="str">
        <f>IF(H135="","",IF($I$8="A",(RANK(H135,H$11:H$355,1)+COUNTIF(H$11:H135,H135)-1),(RANK(H135,H$11:H$355)+COUNTIF(H$11:H135,H135)-1)))</f>
        <v/>
      </c>
      <c r="J135" s="58"/>
      <c r="K135" s="51">
        <f t="shared" si="38"/>
        <v>125</v>
      </c>
      <c r="L135" s="59" t="str">
        <f t="shared" si="28"/>
        <v>Hinckley &amp; Bosworth</v>
      </c>
      <c r="M135" s="153">
        <f t="shared" si="29"/>
        <v>527.4</v>
      </c>
      <c r="N135" s="148">
        <f t="shared" si="39"/>
        <v>527.4</v>
      </c>
      <c r="O135" s="131" t="str">
        <f t="shared" si="30"/>
        <v/>
      </c>
      <c r="P135" s="131" t="str">
        <f t="shared" si="45"/>
        <v/>
      </c>
      <c r="Q135" s="131">
        <f t="shared" si="46"/>
        <v>527.4</v>
      </c>
      <c r="R135" s="127" t="str">
        <f t="shared" si="47"/>
        <v/>
      </c>
      <c r="S135" s="60" t="str">
        <f t="shared" si="40"/>
        <v/>
      </c>
      <c r="T135" s="228">
        <f>IF(L135="","",VLOOKUP(L135,classifications!C:K,9,FALSE))</f>
        <v>0</v>
      </c>
      <c r="U135" s="235" t="str">
        <f t="shared" si="31"/>
        <v/>
      </c>
      <c r="V135" s="236" t="str">
        <f>IF(U135="","",IF($I$8="A",(RANK(U135,U$11:U$355)+COUNTIF(U$11:U135,U135)-1),(RANK(U135,U$11:U$355,1)+COUNTIF(U$11:U135,U135)-1)))</f>
        <v/>
      </c>
      <c r="W135" s="237"/>
      <c r="X135" s="61" t="str">
        <f>IF(L135="","",VLOOKUP($L135,classifications!$C:$J,6,FALSE))</f>
        <v xml:space="preserve">Largely Rural (rural including hub towns 50-79%) </v>
      </c>
      <c r="Y135" s="49" t="str">
        <f t="shared" si="32"/>
        <v/>
      </c>
      <c r="Z135" s="57" t="str">
        <f>IF(Y135="","",IF(I$8="A",(RANK(Y135,Y$11:Y$355,1)+COUNTIF(Y$11:Y135,Y135)-1),(RANK(Y135,Y$11:Y$355)+COUNTIF(Y$11:Y135,Y135)-1)))</f>
        <v/>
      </c>
      <c r="AA135" s="242" t="str">
        <f>IF(L135="","",VLOOKUP($L135,classifications!C:I,7,FALSE))</f>
        <v>Predominantly Rural</v>
      </c>
      <c r="AB135" s="236">
        <f t="shared" si="41"/>
        <v>527.4</v>
      </c>
      <c r="AC135" s="236">
        <f>IF(AB135="","",IF($I$8="A",(RANK(AB135,AB$11:AB$355)+COUNTIF(AB$11:AB135,AB135)-1),(RANK(AB135,AB$11:AB$355,1)+COUNTIF(AB$11:AB135,AB135)-1)))</f>
        <v>20</v>
      </c>
      <c r="AD135" s="236"/>
      <c r="AE135" s="51" t="str">
        <f t="shared" si="48"/>
        <v/>
      </c>
      <c r="AG135" s="143"/>
      <c r="AH135" s="52"/>
      <c r="AI135" s="61" t="str">
        <f>IF(L135="","",VLOOKUP($L135,classifications!$C:$J,8,FALSE))</f>
        <v>Leicestershire</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East Midlands</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529</v>
      </c>
      <c r="AY135" s="156"/>
      <c r="AZ135" s="44"/>
    </row>
    <row r="136" spans="1:52">
      <c r="A136" s="84" t="str">
        <f>$D$1&amp;126</f>
        <v>SD126</v>
      </c>
      <c r="B136" s="85">
        <f>IF(ISERROR(VLOOKUP(A136,classifications!A:C,3,FALSE)),0,VLOOKUP(A136,classifications!A:C,3,FALSE))</f>
        <v>0</v>
      </c>
      <c r="C136" s="31" t="s">
        <v>80</v>
      </c>
      <c r="D136" s="49" t="str">
        <f>VLOOKUP($C136,classifications!$C:$J,4,FALSE)</f>
        <v>SD</v>
      </c>
      <c r="E136" s="49">
        <f>VLOOKUP(C136,classifications!C:K,9,FALSE)</f>
        <v>0</v>
      </c>
      <c r="F136" s="59">
        <f t="shared" si="26"/>
        <v>458.6</v>
      </c>
      <c r="G136" s="105"/>
      <c r="H136" s="60">
        <f t="shared" si="27"/>
        <v>458.6</v>
      </c>
      <c r="I136" s="112">
        <f>IF(H136="","",IF($I$8="A",(RANK(H136,H$11:H$355,1)+COUNTIF(H$11:H136,H136)-1),(RANK(H136,H$11:H$355)+COUNTIF(H$11:H136,H136)-1)))</f>
        <v>62</v>
      </c>
      <c r="J136" s="58"/>
      <c r="K136" s="51">
        <f t="shared" si="38"/>
        <v>126</v>
      </c>
      <c r="L136" s="59" t="str">
        <f t="shared" si="28"/>
        <v>Gosport</v>
      </c>
      <c r="M136" s="153">
        <f t="shared" si="29"/>
        <v>527.70000000000005</v>
      </c>
      <c r="N136" s="148">
        <f t="shared" si="39"/>
        <v>527.70000000000005</v>
      </c>
      <c r="O136" s="131" t="str">
        <f t="shared" si="30"/>
        <v/>
      </c>
      <c r="P136" s="131" t="str">
        <f t="shared" si="45"/>
        <v/>
      </c>
      <c r="Q136" s="131">
        <f t="shared" si="46"/>
        <v>527.70000000000005</v>
      </c>
      <c r="R136" s="127" t="str">
        <f t="shared" si="47"/>
        <v/>
      </c>
      <c r="S136" s="60" t="str">
        <f t="shared" si="40"/>
        <v/>
      </c>
      <c r="T136" s="228">
        <f>IF(L136="","",VLOOKUP(L136,classifications!C:K,9,FALSE))</f>
        <v>0</v>
      </c>
      <c r="U136" s="235" t="str">
        <f t="shared" si="31"/>
        <v/>
      </c>
      <c r="V136" s="236" t="str">
        <f>IF(U136="","",IF($I$8="A",(RANK(U136,U$11:U$355)+COUNTIF(U$11:U136,U136)-1),(RANK(U136,U$11:U$355,1)+COUNTIF(U$11:U136,U136)-1)))</f>
        <v/>
      </c>
      <c r="W136" s="237"/>
      <c r="X136" s="61" t="str">
        <f>IF(L136="","",VLOOKUP($L136,classifications!$C:$J,6,FALSE))</f>
        <v>Urban with City and Town</v>
      </c>
      <c r="Y136" s="49" t="str">
        <f t="shared" si="32"/>
        <v/>
      </c>
      <c r="Z136" s="57" t="str">
        <f>IF(Y136="","",IF(I$8="A",(RANK(Y136,Y$11:Y$355,1)+COUNTIF(Y$11:Y136,Y136)-1),(RANK(Y136,Y$11:Y$355)+COUNTIF(Y$11:Y136,Y136)-1)))</f>
        <v/>
      </c>
      <c r="AA136" s="242" t="str">
        <f>IF(L136="","",VLOOKUP($L136,classifications!C:I,7,FALSE))</f>
        <v>Predominantly Urban</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Hampshire</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South East</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458.6</v>
      </c>
      <c r="AY136" s="156"/>
      <c r="AZ136" s="44"/>
    </row>
    <row r="137" spans="1:52">
      <c r="A137" s="84" t="str">
        <f>$D$1&amp;127</f>
        <v>SD127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444.7</v>
      </c>
      <c r="G137" s="105"/>
      <c r="H137" s="60">
        <f t="shared" si="27"/>
        <v>444.7</v>
      </c>
      <c r="I137" s="112">
        <f>IF(H137="","",IF($I$8="A",(RANK(H137,H$11:H$355,1)+COUNTIF(H$11:H137,H137)-1),(RANK(H137,H$11:H$355)+COUNTIF(H$11:H137,H137)-1)))</f>
        <v>53</v>
      </c>
      <c r="J137" s="58"/>
      <c r="K137" s="51">
        <f t="shared" si="38"/>
        <v>127</v>
      </c>
      <c r="L137" s="59" t="str">
        <f t="shared" si="28"/>
        <v>South Kesteven</v>
      </c>
      <c r="M137" s="153">
        <f t="shared" si="29"/>
        <v>528.4</v>
      </c>
      <c r="N137" s="148">
        <f t="shared" si="39"/>
        <v>528.4</v>
      </c>
      <c r="O137" s="131" t="str">
        <f t="shared" si="30"/>
        <v/>
      </c>
      <c r="P137" s="131" t="str">
        <f t="shared" si="45"/>
        <v/>
      </c>
      <c r="Q137" s="131">
        <f t="shared" si="46"/>
        <v>528.4</v>
      </c>
      <c r="R137" s="127" t="str">
        <f t="shared" si="47"/>
        <v/>
      </c>
      <c r="S137" s="60" t="str">
        <f t="shared" si="40"/>
        <v/>
      </c>
      <c r="T137" s="228" t="str">
        <f>IF(L137="","",VLOOKUP(L137,classifications!C:K,9,FALSE))</f>
        <v>Sparse</v>
      </c>
      <c r="U137" s="235">
        <f t="shared" si="31"/>
        <v>528.4</v>
      </c>
      <c r="V137" s="236">
        <f>IF(U137="","",IF($I$8="A",(RANK(U137,U$11:U$355)+COUNTIF(U$11:U137,U137)-1),(RANK(U137,U$11:U$355,1)+COUNTIF(U$11:U137,U137)-1)))</f>
        <v>15</v>
      </c>
      <c r="W137" s="237"/>
      <c r="X137" s="61" t="str">
        <f>IF(L137="","",VLOOKUP($L137,classifications!$C:$J,6,FALSE))</f>
        <v xml:space="preserve">Largely Rural (rural including hub towns 50-79%) </v>
      </c>
      <c r="Y137" s="49" t="str">
        <f t="shared" si="32"/>
        <v/>
      </c>
      <c r="Z137" s="57" t="str">
        <f>IF(Y137="","",IF(I$8="A",(RANK(Y137,Y$11:Y$355,1)+COUNTIF(Y$11:Y137,Y137)-1),(RANK(Y137,Y$11:Y$355)+COUNTIF(Y$11:Y137,Y137)-1)))</f>
        <v/>
      </c>
      <c r="AA137" s="242" t="str">
        <f>IF(L137="","",VLOOKUP($L137,classifications!C:I,7,FALSE))</f>
        <v>Predominantly Rural</v>
      </c>
      <c r="AB137" s="236">
        <f t="shared" si="41"/>
        <v>528.4</v>
      </c>
      <c r="AC137" s="236">
        <f>IF(AB137="","",IF($I$8="A",(RANK(AB137,AB$11:AB$355)+COUNTIF(AB$11:AB137,AB137)-1),(RANK(AB137,AB$11:AB$355,1)+COUNTIF(AB$11:AB137,AB137)-1)))</f>
        <v>19</v>
      </c>
      <c r="AD137" s="236"/>
      <c r="AE137" s="51" t="str">
        <f t="shared" si="48"/>
        <v/>
      </c>
      <c r="AG137" s="143"/>
      <c r="AH137" s="52"/>
      <c r="AI137" s="61" t="str">
        <f>IF(L137="","",VLOOKUP($L137,classifications!$C:$J,8,FALSE))</f>
        <v>Lincolnshire</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East Midlands</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444.7</v>
      </c>
      <c r="AY137" s="156"/>
      <c r="AZ137" s="44"/>
    </row>
    <row r="138" spans="1:52">
      <c r="A138" s="84" t="str">
        <f>$D$1&amp;128</f>
        <v>SD128</v>
      </c>
      <c r="B138" s="85">
        <f>IF(ISERROR(VLOOKUP(A138,classifications!A:C,3,FALSE)),0,VLOOKUP(A138,classifications!A:C,3,FALSE))</f>
        <v>0</v>
      </c>
      <c r="C138" s="31" t="s">
        <v>207</v>
      </c>
      <c r="D138" s="49" t="str">
        <f>VLOOKUP($C138,classifications!$C:$J,4,FALSE)</f>
        <v>L</v>
      </c>
      <c r="E138" s="49">
        <f>VLOOKUP(C138,classifications!C:K,9,FALSE)</f>
        <v>0</v>
      </c>
      <c r="F138" s="59">
        <f t="shared" si="26"/>
        <v>607.70000000000005</v>
      </c>
      <c r="G138" s="105"/>
      <c r="H138" s="60" t="str">
        <f t="shared" si="27"/>
        <v/>
      </c>
      <c r="I138" s="112" t="str">
        <f>IF(H138="","",IF($I$8="A",(RANK(H138,H$11:H$355,1)+COUNTIF(H$11:H138,H138)-1),(RANK(H138,H$11:H$355)+COUNTIF(H$11:H138,H138)-1)))</f>
        <v/>
      </c>
      <c r="J138" s="58"/>
      <c r="K138" s="51">
        <f t="shared" si="38"/>
        <v>128</v>
      </c>
      <c r="L138" s="59" t="str">
        <f t="shared" si="28"/>
        <v>Lichfield</v>
      </c>
      <c r="M138" s="153">
        <f t="shared" si="29"/>
        <v>528.70000000000005</v>
      </c>
      <c r="N138" s="148">
        <f t="shared" si="39"/>
        <v>528.70000000000005</v>
      </c>
      <c r="O138" s="131" t="str">
        <f t="shared" si="30"/>
        <v/>
      </c>
      <c r="P138" s="131" t="str">
        <f t="shared" si="45"/>
        <v/>
      </c>
      <c r="Q138" s="131">
        <f t="shared" si="46"/>
        <v>528.70000000000005</v>
      </c>
      <c r="R138" s="127" t="str">
        <f t="shared" si="47"/>
        <v/>
      </c>
      <c r="S138" s="60" t="str">
        <f t="shared" si="40"/>
        <v/>
      </c>
      <c r="T138" s="228" t="str">
        <f>IF(L138="","",VLOOKUP(L138,classifications!C:K,9,FALSE))</f>
        <v>Sparse</v>
      </c>
      <c r="U138" s="235">
        <f t="shared" si="31"/>
        <v>528.70000000000005</v>
      </c>
      <c r="V138" s="236">
        <f>IF(U138="","",IF($I$8="A",(RANK(U138,U$11:U$355)+COUNTIF(U$11:U138,U138)-1),(RANK(U138,U$11:U$355,1)+COUNTIF(U$11:U138,U138)-1)))</f>
        <v>14</v>
      </c>
      <c r="W138" s="237"/>
      <c r="X138" s="61" t="str">
        <f>IF(L138="","",VLOOKUP($L138,classifications!$C:$J,6,FALSE))</f>
        <v>Urban with Significant Rural (rural including hub towns 26-49%)</v>
      </c>
      <c r="Y138" s="49" t="str">
        <f t="shared" si="32"/>
        <v/>
      </c>
      <c r="Z138" s="57" t="str">
        <f>IF(Y138="","",IF(I$8="A",(RANK(Y138,Y$11:Y$355,1)+COUNTIF(Y$11:Y138,Y138)-1),(RANK(Y138,Y$11:Y$355)+COUNTIF(Y$11:Y138,Y138)-1)))</f>
        <v/>
      </c>
      <c r="AA138" s="242" t="str">
        <f>IF(L138="","",VLOOKUP($L138,classifications!C:I,7,FALSE))</f>
        <v>Significant Rural</v>
      </c>
      <c r="AB138" s="236" t="str">
        <f t="shared" si="41"/>
        <v/>
      </c>
      <c r="AC138" s="236" t="str">
        <f>IF(AB138="","",IF($I$8="A",(RANK(AB138,AB$11:AB$355)+COUNTIF(AB$11:AB138,AB138)-1),(RANK(AB138,AB$11:AB$355,1)+COUNTIF(AB$11:AB138,AB138)-1)))</f>
        <v/>
      </c>
      <c r="AD138" s="236"/>
      <c r="AE138" s="51" t="str">
        <f t="shared" si="48"/>
        <v/>
      </c>
      <c r="AG138" s="143"/>
      <c r="AH138" s="52"/>
      <c r="AI138" s="61" t="str">
        <f>IF(L138="","",VLOOKUP($L138,classifications!$C:$J,8,FALSE))</f>
        <v>Staffordshire</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West Midlands</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607.70000000000005</v>
      </c>
      <c r="AY138" s="156"/>
      <c r="AZ138" s="44"/>
    </row>
    <row r="139" spans="1:52">
      <c r="A139" s="84" t="str">
        <f>$D$1&amp;129</f>
        <v>SD129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496.1</v>
      </c>
      <c r="G139" s="105"/>
      <c r="H139" s="60">
        <f t="shared" ref="H139:H202" si="50">IF(D139=$D$1,HLOOKUP($D$6,$AX$10:$ZZ$355,ROW()-9,FALSE),"")</f>
        <v>496.1</v>
      </c>
      <c r="I139" s="112">
        <f>IF(H139="","",IF($I$8="A",(RANK(H139,H$11:H$355,1)+COUNTIF(H$11:H139,H139)-1),(RANK(H139,H$11:H$355)+COUNTIF(H$11:H139,H139)-1)))</f>
        <v>96</v>
      </c>
      <c r="J139" s="58"/>
      <c r="K139" s="51">
        <f t="shared" si="38"/>
        <v>129</v>
      </c>
      <c r="L139" s="59" t="str">
        <f t="shared" ref="L139:L202" si="51">IF(K139="","",INDEX(C$11:C$355,MATCH(K139,I$11:I$355,0)))</f>
        <v>South Derbyshire</v>
      </c>
      <c r="M139" s="153">
        <f t="shared" ref="M139:M202" si="52">IF(L139="","",IF(VLOOKUP(L139,C:D,2,FALSE)=$F$3,VLOOKUP(L139,C:H,6,FALSE),""))</f>
        <v>530.5</v>
      </c>
      <c r="N139" s="148">
        <f t="shared" si="39"/>
        <v>530.5</v>
      </c>
      <c r="O139" s="131" t="str">
        <f t="shared" ref="O139:O202" si="53">IF(I$8="A",IF(N139&gt;=$P$7,IF(N139&lt;=$O$10,N139,""),""),IF(N139&lt;=$P$7,IF(N139&gt;=$O$10,N139,""),""))</f>
        <v/>
      </c>
      <c r="P139" s="131" t="str">
        <f t="shared" si="45"/>
        <v/>
      </c>
      <c r="Q139" s="131">
        <f t="shared" si="46"/>
        <v>530.5</v>
      </c>
      <c r="R139" s="127" t="str">
        <f t="shared" si="47"/>
        <v/>
      </c>
      <c r="S139" s="60" t="str">
        <f t="shared" si="40"/>
        <v/>
      </c>
      <c r="T139" s="228">
        <f>IF(L139="","",VLOOKUP(L139,classifications!C:K,9,FALSE))</f>
        <v>0</v>
      </c>
      <c r="U139" s="235" t="str">
        <f t="shared" ref="U139:U202" si="54">IF(T139="Sparse",M139,"")</f>
        <v/>
      </c>
      <c r="V139" s="236" t="str">
        <f>IF(U139="","",IF($I$8="A",(RANK(U139,U$11:U$355)+COUNTIF(U$11:U139,U139)-1),(RANK(U139,U$11:U$355,1)+COUNTIF(U$11:U139,U139)-1)))</f>
        <v/>
      </c>
      <c r="W139" s="237"/>
      <c r="X139" s="61" t="str">
        <f>IF(L139="","",VLOOKUP($L139,classifications!$C:$J,6,FALSE))</f>
        <v>Urban with Significant Rural (rural including hub towns 26-49%)</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Significant Rural</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Derbyshire</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East Midlands</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496.1</v>
      </c>
      <c r="AY139" s="156"/>
      <c r="AZ139" s="44"/>
    </row>
    <row r="140" spans="1:52">
      <c r="A140" s="84" t="str">
        <f>$D$1&amp;130</f>
        <v>SD130</v>
      </c>
      <c r="B140" s="85">
        <f>IF(ISERROR(VLOOKUP(A140,classifications!A:C,3,FALSE)),0,VLOOKUP(A140,classifications!A:C,3,FALSE))</f>
        <v>0</v>
      </c>
      <c r="C140" s="31" t="s">
        <v>269</v>
      </c>
      <c r="D140" s="49" t="str">
        <f>VLOOKUP($C140,classifications!$C:$J,4,FALSE)</f>
        <v>UA</v>
      </c>
      <c r="E140" s="49">
        <f>VLOOKUP(C140,classifications!C:K,9,FALSE)</f>
        <v>0</v>
      </c>
      <c r="F140" s="59">
        <f t="shared" si="49"/>
        <v>607.4</v>
      </c>
      <c r="G140" s="105"/>
      <c r="H140" s="60" t="str">
        <f t="shared" si="50"/>
        <v/>
      </c>
      <c r="I140" s="112" t="str">
        <f>IF(H140="","",IF($I$8="A",(RANK(H140,H$11:H$355,1)+COUNTIF(H$11:H140,H140)-1),(RANK(H140,H$11:H$355)+COUNTIF(H$11:H140,H140)-1)))</f>
        <v/>
      </c>
      <c r="J140" s="58"/>
      <c r="K140" s="51">
        <f t="shared" ref="K140:K203" si="61">IF(K139="","",IF(K139+1&gt;(COUNT(H$11:H$355)),"",K139+1))</f>
        <v>130</v>
      </c>
      <c r="L140" s="59" t="str">
        <f t="shared" si="51"/>
        <v>King's Lynn &amp; West Norfolk</v>
      </c>
      <c r="M140" s="153">
        <f t="shared" si="52"/>
        <v>532.1</v>
      </c>
      <c r="N140" s="148">
        <f t="shared" ref="N140:N203" si="62">IF(L140="","",IF($H$8="%%",M140*100,M140))</f>
        <v>532.1</v>
      </c>
      <c r="O140" s="131" t="str">
        <f t="shared" si="53"/>
        <v/>
      </c>
      <c r="P140" s="131" t="str">
        <f t="shared" si="45"/>
        <v/>
      </c>
      <c r="Q140" s="131">
        <f t="shared" si="46"/>
        <v>532.1</v>
      </c>
      <c r="R140" s="127" t="str">
        <f t="shared" si="47"/>
        <v/>
      </c>
      <c r="S140" s="60" t="str">
        <f t="shared" ref="S140:S203" si="63">IF(L140=D$3,"u","")</f>
        <v/>
      </c>
      <c r="T140" s="228" t="str">
        <f>IF(L140="","",VLOOKUP(L140,classifications!C:K,9,FALSE))</f>
        <v>Sparse</v>
      </c>
      <c r="U140" s="235">
        <f t="shared" si="54"/>
        <v>532.1</v>
      </c>
      <c r="V140" s="236">
        <f>IF(U140="","",IF($I$8="A",(RANK(U140,U$11:U$355)+COUNTIF(U$11:U140,U140)-1),(RANK(U140,U$11:U$355,1)+COUNTIF(U$11:U140,U140)-1)))</f>
        <v>13</v>
      </c>
      <c r="W140" s="237"/>
      <c r="X140" s="61" t="str">
        <f>IF(L140="","",VLOOKUP($L140,classifications!$C:$J,6,FALSE))</f>
        <v xml:space="preserve">Largely Rural (rural including hub towns 50-79%) </v>
      </c>
      <c r="Y140" s="49" t="str">
        <f t="shared" si="55"/>
        <v/>
      </c>
      <c r="Z140" s="57" t="str">
        <f>IF(Y140="","",IF(I$8="A",(RANK(Y140,Y$11:Y$355,1)+COUNTIF(Y$11:Y140,Y140)-1),(RANK(Y140,Y$11:Y$355)+COUNTIF(Y$11:Y140,Y140)-1)))</f>
        <v/>
      </c>
      <c r="AA140" s="242" t="str">
        <f>IF(L140="","",VLOOKUP($L140,classifications!C:I,7,FALSE))</f>
        <v>Predominantly Rural</v>
      </c>
      <c r="AB140" s="236">
        <f t="shared" ref="AB140:AB203" si="64">IF(AA140=$J$3,M140,"")</f>
        <v>532.1</v>
      </c>
      <c r="AC140" s="236">
        <f>IF(AB140="","",IF($I$8="A",(RANK(AB140,AB$11:AB$355)+COUNTIF(AB$11:AB140,AB140)-1),(RANK(AB140,AB$11:AB$355,1)+COUNTIF(AB$11:AB140,AB140)-1)))</f>
        <v>18</v>
      </c>
      <c r="AD140" s="236"/>
      <c r="AE140" s="51" t="str">
        <f t="shared" si="48"/>
        <v/>
      </c>
      <c r="AG140" s="143"/>
      <c r="AH140" s="52"/>
      <c r="AI140" s="61" t="str">
        <f>IF(L140="","",VLOOKUP($L140,classifications!$C:$J,8,FALSE))</f>
        <v>Norfolk</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East of England</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607.4</v>
      </c>
      <c r="AY140" s="156"/>
      <c r="AZ140" s="44"/>
    </row>
    <row r="141" spans="1:52">
      <c r="A141" s="84" t="str">
        <f>$D$1&amp;131</f>
        <v>SD131</v>
      </c>
      <c r="B141" s="85">
        <f>IF(ISERROR(VLOOKUP(A141,classifications!A:C,3,FALSE)),0,VLOOKUP(A141,classifications!A:C,3,FALSE))</f>
        <v>0</v>
      </c>
      <c r="C141" s="31" t="s">
        <v>83</v>
      </c>
      <c r="D141" s="49" t="str">
        <f>VLOOKUP($C141,classifications!$C:$J,4,FALSE)</f>
        <v>SD</v>
      </c>
      <c r="E141" s="49">
        <f>VLOOKUP(C141,classifications!C:K,9,FALSE)</f>
        <v>0</v>
      </c>
      <c r="F141" s="59">
        <f t="shared" si="49"/>
        <v>515.5</v>
      </c>
      <c r="G141" s="105"/>
      <c r="H141" s="60">
        <f t="shared" si="50"/>
        <v>515.5</v>
      </c>
      <c r="I141" s="112">
        <f>IF(H141="","",IF($I$8="A",(RANK(H141,H$11:H$355,1)+COUNTIF(H$11:H141,H141)-1),(RANK(H141,H$11:H$355)+COUNTIF(H$11:H141,H141)-1)))</f>
        <v>116</v>
      </c>
      <c r="J141" s="58"/>
      <c r="K141" s="51">
        <f t="shared" si="61"/>
        <v>131</v>
      </c>
      <c r="L141" s="59" t="str">
        <f t="shared" si="51"/>
        <v>Swale</v>
      </c>
      <c r="M141" s="153">
        <f t="shared" si="52"/>
        <v>532.6</v>
      </c>
      <c r="N141" s="148">
        <f t="shared" si="62"/>
        <v>532.6</v>
      </c>
      <c r="O141" s="131" t="str">
        <f t="shared" si="53"/>
        <v/>
      </c>
      <c r="P141" s="131" t="str">
        <f t="shared" ref="P141:P204" si="68">IF(I$8="A",IF(N141&gt;$O$10,IF(N141&lt;=$P$10,N141,""),""),IF(N141&lt;$O$10,IF(N141&gt;=$P$10,N141,""),""))</f>
        <v/>
      </c>
      <c r="Q141" s="131">
        <f t="shared" ref="Q141:Q204" si="69">IF(I$8="A",IF(N141&gt;$P$10,IF(N141&lt;=$Q$10,N141,""),""),IF(N141&lt;$P$10,IF(N141&gt;=$Q$10,N141,""),""))</f>
        <v>532.6</v>
      </c>
      <c r="R141" s="127" t="str">
        <f t="shared" ref="R141:R204" si="70">IF(I$8="A",IF(N141&gt;$Q$10,N141,""),IF(N141&lt;$Q$10,N141,""))</f>
        <v/>
      </c>
      <c r="S141" s="60" t="str">
        <f t="shared" si="63"/>
        <v/>
      </c>
      <c r="T141" s="228">
        <f>IF(L141="","",VLOOKUP(L141,classifications!C:K,9,FALSE))</f>
        <v>0</v>
      </c>
      <c r="U141" s="235" t="str">
        <f t="shared" si="54"/>
        <v/>
      </c>
      <c r="V141" s="236" t="str">
        <f>IF(U141="","",IF($I$8="A",(RANK(U141,U$11:U$355)+COUNTIF(U$11:U141,U141)-1),(RANK(U141,U$11:U$355,1)+COUNTIF(U$11:U141,U141)-1)))</f>
        <v/>
      </c>
      <c r="W141" s="237"/>
      <c r="X141" s="61" t="str">
        <f>IF(L141="","",VLOOKUP($L141,classifications!$C:$J,6,FALSE))</f>
        <v xml:space="preserve">Largely Rural (rural including hub towns 50-79%) </v>
      </c>
      <c r="Y141" s="49" t="str">
        <f t="shared" si="55"/>
        <v/>
      </c>
      <c r="Z141" s="57" t="str">
        <f>IF(Y141="","",IF(I$8="A",(RANK(Y141,Y$11:Y$355,1)+COUNTIF(Y$11:Y141,Y141)-1),(RANK(Y141,Y$11:Y$355)+COUNTIF(Y$11:Y141,Y141)-1)))</f>
        <v/>
      </c>
      <c r="AA141" s="242" t="str">
        <f>IF(L141="","",VLOOKUP($L141,classifications!C:I,7,FALSE))</f>
        <v>Predominantly Rural</v>
      </c>
      <c r="AB141" s="236">
        <f t="shared" si="64"/>
        <v>532.6</v>
      </c>
      <c r="AC141" s="236">
        <f>IF(AB141="","",IF($I$8="A",(RANK(AB141,AB$11:AB$355)+COUNTIF(AB$11:AB141,AB141)-1),(RANK(AB141,AB$11:AB$355,1)+COUNTIF(AB$11:AB141,AB141)-1)))</f>
        <v>17</v>
      </c>
      <c r="AD141" s="236"/>
      <c r="AE141" s="51" t="str">
        <f t="shared" si="48"/>
        <v/>
      </c>
      <c r="AG141" s="143"/>
      <c r="AH141" s="52"/>
      <c r="AI141" s="61" t="str">
        <f>IF(L141="","",VLOOKUP($L141,classifications!$C:$J,8,FALSE))</f>
        <v>Kent</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South East</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515.5</v>
      </c>
      <c r="AY141" s="156"/>
      <c r="AZ141" s="44"/>
    </row>
    <row r="142" spans="1:52">
      <c r="A142" s="84" t="str">
        <f>$D$1&amp;132</f>
        <v>SD132</v>
      </c>
      <c r="B142" s="85">
        <f>IF(ISERROR(VLOOKUP(A142,classifications!A:C,3,FALSE)),0,VLOOKUP(A142,classifications!A:C,3,FALSE))</f>
        <v>0</v>
      </c>
      <c r="C142" s="31" t="s">
        <v>84</v>
      </c>
      <c r="D142" s="49" t="str">
        <f>VLOOKUP($C142,classifications!$C:$J,4,FALSE)</f>
        <v>SD</v>
      </c>
      <c r="E142" s="49">
        <f>VLOOKUP(C142,classifications!C:K,9,FALSE)</f>
        <v>0</v>
      </c>
      <c r="F142" s="59">
        <f t="shared" si="49"/>
        <v>552.29999999999995</v>
      </c>
      <c r="G142" s="105"/>
      <c r="H142" s="60">
        <f t="shared" si="50"/>
        <v>552.29999999999995</v>
      </c>
      <c r="I142" s="112">
        <f>IF(H142="","",IF($I$8="A",(RANK(H142,H$11:H$355,1)+COUNTIF(H$11:H142,H142)-1),(RANK(H142,H$11:H$355)+COUNTIF(H$11:H142,H142)-1)))</f>
        <v>145</v>
      </c>
      <c r="J142" s="58"/>
      <c r="K142" s="51">
        <f t="shared" si="61"/>
        <v>132</v>
      </c>
      <c r="L142" s="59" t="str">
        <f t="shared" si="51"/>
        <v>Stevenage</v>
      </c>
      <c r="M142" s="153">
        <f t="shared" si="52"/>
        <v>534.70000000000005</v>
      </c>
      <c r="N142" s="148">
        <f t="shared" si="62"/>
        <v>534.70000000000005</v>
      </c>
      <c r="O142" s="131" t="str">
        <f t="shared" si="53"/>
        <v/>
      </c>
      <c r="P142" s="131" t="str">
        <f t="shared" si="68"/>
        <v/>
      </c>
      <c r="Q142" s="131">
        <f t="shared" si="69"/>
        <v>534.70000000000005</v>
      </c>
      <c r="R142" s="127" t="str">
        <f t="shared" si="70"/>
        <v/>
      </c>
      <c r="S142" s="60" t="str">
        <f t="shared" si="63"/>
        <v/>
      </c>
      <c r="T142" s="228">
        <f>IF(L142="","",VLOOKUP(L142,classifications!C:K,9,FALSE))</f>
        <v>0</v>
      </c>
      <c r="U142" s="235" t="str">
        <f t="shared" si="54"/>
        <v/>
      </c>
      <c r="V142" s="236" t="str">
        <f>IF(U142="","",IF($I$8="A",(RANK(U142,U$11:U$355)+COUNTIF(U$11:U142,U142)-1),(RANK(U142,U$11:U$355,1)+COUNTIF(U$11:U142,U142)-1)))</f>
        <v/>
      </c>
      <c r="W142" s="237"/>
      <c r="X142" s="61" t="str">
        <f>IF(L142="","",VLOOKUP($L142,classifications!$C:$J,6,FALSE))</f>
        <v>Urban with City and Town</v>
      </c>
      <c r="Y142" s="49" t="str">
        <f t="shared" si="55"/>
        <v/>
      </c>
      <c r="Z142" s="57" t="str">
        <f>IF(Y142="","",IF(I$8="A",(RANK(Y142,Y$11:Y$355,1)+COUNTIF(Y$11:Y142,Y142)-1),(RANK(Y142,Y$11:Y$355)+COUNTIF(Y$11:Y142,Y142)-1)))</f>
        <v/>
      </c>
      <c r="AA142" s="242" t="str">
        <f>IF(L142="","",VLOOKUP($L142,classifications!C:I,7,FALSE))</f>
        <v>Predominantly Urban</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Hertfordshire</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East of England</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552.29999999999995</v>
      </c>
      <c r="AY142" s="156"/>
      <c r="AZ142" s="44"/>
    </row>
    <row r="143" spans="1:52">
      <c r="A143" s="84" t="str">
        <f>$D$1&amp;133</f>
        <v>SD133</v>
      </c>
      <c r="B143" s="85">
        <f>IF(ISERROR(VLOOKUP(A143,classifications!A:C,3,FALSE)),0,VLOOKUP(A143,classifications!A:C,3,FALSE))</f>
        <v>0</v>
      </c>
      <c r="C143" s="31" t="s">
        <v>208</v>
      </c>
      <c r="D143" s="49" t="str">
        <f>VLOOKUP($C143,classifications!$C:$J,4,FALSE)</f>
        <v>L</v>
      </c>
      <c r="E143" s="49">
        <f>VLOOKUP(C143,classifications!C:K,9,FALSE)</f>
        <v>0</v>
      </c>
      <c r="F143" s="59">
        <f t="shared" si="49"/>
        <v>698.4</v>
      </c>
      <c r="G143" s="105"/>
      <c r="H143" s="60" t="str">
        <f t="shared" si="50"/>
        <v/>
      </c>
      <c r="I143" s="112" t="str">
        <f>IF(H143="","",IF($I$8="A",(RANK(H143,H$11:H$355,1)+COUNTIF(H$11:H143,H143)-1),(RANK(H143,H$11:H$355)+COUNTIF(H$11:H143,H143)-1)))</f>
        <v/>
      </c>
      <c r="J143" s="58"/>
      <c r="K143" s="51">
        <f t="shared" si="61"/>
        <v>133</v>
      </c>
      <c r="L143" s="59" t="str">
        <f t="shared" si="51"/>
        <v>Breckland</v>
      </c>
      <c r="M143" s="153">
        <f t="shared" si="52"/>
        <v>538.20000000000005</v>
      </c>
      <c r="N143" s="148">
        <f t="shared" si="62"/>
        <v>538.20000000000005</v>
      </c>
      <c r="O143" s="131" t="str">
        <f t="shared" si="53"/>
        <v/>
      </c>
      <c r="P143" s="131" t="str">
        <f t="shared" si="68"/>
        <v/>
      </c>
      <c r="Q143" s="131">
        <f t="shared" si="69"/>
        <v>538.20000000000005</v>
      </c>
      <c r="R143" s="127" t="str">
        <f t="shared" si="70"/>
        <v/>
      </c>
      <c r="S143" s="60" t="str">
        <f t="shared" si="63"/>
        <v/>
      </c>
      <c r="T143" s="228" t="str">
        <f>IF(L143="","",VLOOKUP(L143,classifications!C:K,9,FALSE))</f>
        <v>Sparse</v>
      </c>
      <c r="U143" s="235">
        <f t="shared" si="54"/>
        <v>538.20000000000005</v>
      </c>
      <c r="V143" s="236">
        <f>IF(U143="","",IF($I$8="A",(RANK(U143,U$11:U$355)+COUNTIF(U$11:U143,U143)-1),(RANK(U143,U$11:U$355,1)+COUNTIF(U$11:U143,U143)-1)))</f>
        <v>12</v>
      </c>
      <c r="W143" s="237"/>
      <c r="X143" s="61" t="str">
        <f>IF(L143="","",VLOOKUP($L143,classifications!$C:$J,6,FALSE))</f>
        <v xml:space="preserve">Mainly Rural (rural including hub towns &gt;=80%) </v>
      </c>
      <c r="Y143" s="49">
        <f t="shared" si="55"/>
        <v>538.20000000000005</v>
      </c>
      <c r="Z143" s="57">
        <f>IF(Y143="","",IF(I$8="A",(RANK(Y143,Y$11:Y$355,1)+COUNTIF(Y$11:Y143,Y143)-1),(RANK(Y143,Y$11:Y$355)+COUNTIF(Y$11:Y143,Y143)-1)))</f>
        <v>31</v>
      </c>
      <c r="AA143" s="242" t="str">
        <f>IF(L143="","",VLOOKUP($L143,classifications!C:I,7,FALSE))</f>
        <v>Predominantly Rural</v>
      </c>
      <c r="AB143" s="236">
        <f t="shared" si="64"/>
        <v>538.20000000000005</v>
      </c>
      <c r="AC143" s="236">
        <f>IF(AB143="","",IF($I$8="A",(RANK(AB143,AB$11:AB$355)+COUNTIF(AB$11:AB143,AB143)-1),(RANK(AB143,AB$11:AB$355,1)+COUNTIF(AB$11:AB143,AB143)-1)))</f>
        <v>16</v>
      </c>
      <c r="AD143" s="236"/>
      <c r="AE143" s="51" t="str">
        <f t="shared" si="48"/>
        <v/>
      </c>
      <c r="AG143" s="143"/>
      <c r="AH143" s="52"/>
      <c r="AI143" s="61" t="str">
        <f>IF(L143="","",VLOOKUP($L143,classifications!$C:$J,8,FALSE))</f>
        <v>Norfolk</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East of England</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698.4</v>
      </c>
      <c r="AY143" s="156"/>
      <c r="AZ143" s="44"/>
    </row>
    <row r="144" spans="1:52">
      <c r="A144" s="84" t="str">
        <f>$D$1&amp;134</f>
        <v>SD134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514.20000000000005</v>
      </c>
      <c r="G144" s="105"/>
      <c r="H144" s="60" t="str">
        <f t="shared" si="50"/>
        <v/>
      </c>
      <c r="I144" s="112" t="str">
        <f>IF(H144="","",IF($I$8="A",(RANK(H144,H$11:H$355,1)+COUNTIF(H$11:H144,H144)-1),(RANK(H144,H$11:H$355)+COUNTIF(H$11:H144,H144)-1)))</f>
        <v/>
      </c>
      <c r="J144" s="58"/>
      <c r="K144" s="51">
        <f t="shared" si="61"/>
        <v>134</v>
      </c>
      <c r="L144" s="59" t="str">
        <f t="shared" si="51"/>
        <v>Cannock Chase</v>
      </c>
      <c r="M144" s="153">
        <f t="shared" si="52"/>
        <v>538.29999999999995</v>
      </c>
      <c r="N144" s="148">
        <f t="shared" si="62"/>
        <v>538.29999999999995</v>
      </c>
      <c r="O144" s="131" t="str">
        <f t="shared" si="53"/>
        <v/>
      </c>
      <c r="P144" s="131" t="str">
        <f t="shared" si="68"/>
        <v/>
      </c>
      <c r="Q144" s="131">
        <f t="shared" si="69"/>
        <v>538.29999999999995</v>
      </c>
      <c r="R144" s="127" t="str">
        <f t="shared" si="70"/>
        <v/>
      </c>
      <c r="S144" s="60" t="str">
        <f t="shared" si="63"/>
        <v/>
      </c>
      <c r="T144" s="228">
        <f>IF(L144="","",VLOOKUP(L144,classifications!C:K,9,FALSE))</f>
        <v>0</v>
      </c>
      <c r="U144" s="235" t="str">
        <f t="shared" si="54"/>
        <v/>
      </c>
      <c r="V144" s="236" t="str">
        <f>IF(U144="","",IF($I$8="A",(RANK(U144,U$11:U$355)+COUNTIF(U$11:U144,U144)-1),(RANK(U144,U$11:U$355,1)+COUNTIF(U$11:U144,U144)-1)))</f>
        <v/>
      </c>
      <c r="W144" s="237"/>
      <c r="X144" s="61" t="str">
        <f>IF(L144="","",VLOOKUP($L144,classifications!$C:$J,6,FALSE))</f>
        <v>Urban with Significant Rural (rural including hub towns 26-49%)</v>
      </c>
      <c r="Y144" s="49" t="str">
        <f t="shared" si="55"/>
        <v/>
      </c>
      <c r="Z144" s="57" t="str">
        <f>IF(Y144="","",IF(I$8="A",(RANK(Y144,Y$11:Y$355,1)+COUNTIF(Y$11:Y144,Y144)-1),(RANK(Y144,Y$11:Y$355)+COUNTIF(Y$11:Y144,Y144)-1)))</f>
        <v/>
      </c>
      <c r="AA144" s="242" t="str">
        <f>IF(L144="","",VLOOKUP($L144,classifications!C:I,7,FALSE))</f>
        <v>Significant Rural</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Staffordshire</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West Midlands</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514.20000000000005</v>
      </c>
      <c r="AY144" s="156"/>
      <c r="AZ144" s="44"/>
    </row>
    <row r="145" spans="1:52">
      <c r="A145" s="84" t="str">
        <f>$D$1&amp;135</f>
        <v>SD135</v>
      </c>
      <c r="B145" s="85">
        <f>IF(ISERROR(VLOOKUP(A145,classifications!A:C,3,FALSE)),0,VLOOKUP(A145,classifications!A:C,3,FALSE))</f>
        <v>0</v>
      </c>
      <c r="C145" s="31" t="s">
        <v>314</v>
      </c>
      <c r="D145" s="49" t="str">
        <f>VLOOKUP($C145,classifications!$C:$J,4,FALSE)</f>
        <v>SC</v>
      </c>
      <c r="E145" s="49">
        <f>VLOOKUP(C145,classifications!C:K,9,FALSE)</f>
        <v>0</v>
      </c>
      <c r="F145" s="59">
        <f t="shared" si="49"/>
        <v>485.7</v>
      </c>
      <c r="G145" s="105"/>
      <c r="H145" s="60" t="str">
        <f t="shared" si="50"/>
        <v/>
      </c>
      <c r="I145" s="112" t="str">
        <f>IF(H145="","",IF($I$8="A",(RANK(H145,H$11:H$355,1)+COUNTIF(H$11:H145,H145)-1),(RANK(H145,H$11:H$355)+COUNTIF(H$11:H145,H145)-1)))</f>
        <v/>
      </c>
      <c r="J145" s="58"/>
      <c r="K145" s="51">
        <f t="shared" si="61"/>
        <v>135</v>
      </c>
      <c r="L145" s="59" t="str">
        <f t="shared" si="51"/>
        <v>Copeland</v>
      </c>
      <c r="M145" s="153">
        <f t="shared" si="52"/>
        <v>538.79999999999995</v>
      </c>
      <c r="N145" s="148">
        <f t="shared" si="62"/>
        <v>538.79999999999995</v>
      </c>
      <c r="O145" s="131" t="str">
        <f t="shared" si="53"/>
        <v/>
      </c>
      <c r="P145" s="131" t="str">
        <f t="shared" si="68"/>
        <v/>
      </c>
      <c r="Q145" s="131" t="str">
        <f t="shared" si="69"/>
        <v/>
      </c>
      <c r="R145" s="127">
        <f t="shared" si="70"/>
        <v>538.79999999999995</v>
      </c>
      <c r="S145" s="60" t="str">
        <f t="shared" si="63"/>
        <v/>
      </c>
      <c r="T145" s="228" t="str">
        <f>IF(L145="","",VLOOKUP(L145,classifications!C:K,9,FALSE))</f>
        <v>Sparse</v>
      </c>
      <c r="U145" s="235">
        <f t="shared" si="54"/>
        <v>538.79999999999995</v>
      </c>
      <c r="V145" s="236">
        <f>IF(U145="","",IF($I$8="A",(RANK(U145,U$11:U$355)+COUNTIF(U$11:U145,U145)-1),(RANK(U145,U$11:U$355,1)+COUNTIF(U$11:U145,U145)-1)))</f>
        <v>11</v>
      </c>
      <c r="W145" s="237"/>
      <c r="X145" s="61" t="str">
        <f>IF(L145="","",VLOOKUP($L145,classifications!$C:$J,6,FALSE))</f>
        <v xml:space="preserve">Mainly Rural (rural including hub towns &gt;=80%) </v>
      </c>
      <c r="Y145" s="49">
        <f t="shared" si="55"/>
        <v>538.79999999999995</v>
      </c>
      <c r="Z145" s="57">
        <f>IF(Y145="","",IF(I$8="A",(RANK(Y145,Y$11:Y$355,1)+COUNTIF(Y$11:Y145,Y145)-1),(RANK(Y145,Y$11:Y$355)+COUNTIF(Y$11:Y145,Y145)-1)))</f>
        <v>32</v>
      </c>
      <c r="AA145" s="242" t="str">
        <f>IF(L145="","",VLOOKUP($L145,classifications!C:I,7,FALSE))</f>
        <v>Predominantly Rural</v>
      </c>
      <c r="AB145" s="236">
        <f t="shared" si="64"/>
        <v>538.79999999999995</v>
      </c>
      <c r="AC145" s="236">
        <f>IF(AB145="","",IF($I$8="A",(RANK(AB145,AB$11:AB$355)+COUNTIF(AB$11:AB145,AB145)-1),(RANK(AB145,AB$11:AB$355,1)+COUNTIF(AB$11:AB145,AB145)-1)))</f>
        <v>15</v>
      </c>
      <c r="AD145" s="236"/>
      <c r="AE145" s="51" t="str">
        <f t="shared" si="48"/>
        <v/>
      </c>
      <c r="AG145" s="143"/>
      <c r="AH145" s="52"/>
      <c r="AI145" s="61" t="str">
        <f>IF(L145="","",VLOOKUP($L145,classifications!$C:$J,8,FALSE))</f>
        <v>Cumbria</v>
      </c>
      <c r="AJ145" s="62">
        <f t="shared" si="56"/>
        <v>538.79999999999995</v>
      </c>
      <c r="AK145" s="57">
        <f>IF(AJ145="","",IF(I$8="A",(RANK(AJ145,AJ$11:AJ$355,1)+COUNTIF(AJ$11:AJ145,AJ145)-1),(RANK(AJ145,AJ$11:AJ$355)+COUNTIF(AJ$11:AJ145,AJ145)-1)))</f>
        <v>4</v>
      </c>
      <c r="AL145" s="52" t="str">
        <f t="shared" si="65"/>
        <v/>
      </c>
      <c r="AM145" s="31" t="str">
        <f t="shared" si="57"/>
        <v/>
      </c>
      <c r="AN145" s="31" t="str">
        <f t="shared" si="58"/>
        <v/>
      </c>
      <c r="AP145" s="61" t="str">
        <f>IF(L145="","",VLOOKUP($L145,classifications!$C:$E,3,FALSE))</f>
        <v>North West</v>
      </c>
      <c r="AQ145" s="62">
        <f t="shared" si="66"/>
        <v>538.79999999999995</v>
      </c>
      <c r="AR145" s="57">
        <f>IF(AQ145="","",IF(I$8="A",(RANK(AQ145,AQ$11:AQ$355,1)+COUNTIF(AQ$11:AQ145,AQ145)-1),(RANK(AQ145,AQ$11:AQ$355)+COUNTIF(AQ$11:AQ145,AQ145)-1)))</f>
        <v>13</v>
      </c>
      <c r="AS145" s="52" t="str">
        <f t="shared" si="67"/>
        <v/>
      </c>
      <c r="AT145" s="57" t="str">
        <f t="shared" si="59"/>
        <v/>
      </c>
      <c r="AU145" s="62" t="str">
        <f t="shared" si="60"/>
        <v/>
      </c>
      <c r="AX145" s="44">
        <f>HLOOKUP($AX$9&amp;$AX$10,Data!$A$1:$ZZ$2000,(MATCH($C145,Data!$A$1:$A$2000,0)),FALSE)</f>
        <v>485.7</v>
      </c>
      <c r="AY145" s="156"/>
      <c r="AZ145" s="44"/>
    </row>
    <row r="146" spans="1:52">
      <c r="A146" s="84" t="str">
        <f>$D$1&amp;136</f>
        <v>SD136</v>
      </c>
      <c r="B146" s="85">
        <f>IF(ISERROR(VLOOKUP(A146,classifications!A:C,3,FALSE)),0,VLOOKUP(A146,classifications!A:C,3,FALSE))</f>
        <v>0</v>
      </c>
      <c r="C146" s="31" t="s">
        <v>85</v>
      </c>
      <c r="D146" s="49" t="str">
        <f>VLOOKUP($C146,classifications!$C:$J,4,FALSE)</f>
        <v>SD</v>
      </c>
      <c r="E146" s="49">
        <f>VLOOKUP(C146,classifications!C:K,9,FALSE)</f>
        <v>0</v>
      </c>
      <c r="F146" s="59">
        <f t="shared" si="49"/>
        <v>511.8</v>
      </c>
      <c r="G146" s="105"/>
      <c r="H146" s="60">
        <f t="shared" si="50"/>
        <v>511.8</v>
      </c>
      <c r="I146" s="112">
        <f>IF(H146="","",IF($I$8="A",(RANK(H146,H$11:H$355,1)+COUNTIF(H$11:H146,H146)-1),(RANK(H146,H$11:H$355)+COUNTIF(H$11:H146,H146)-1)))</f>
        <v>112</v>
      </c>
      <c r="J146" s="58"/>
      <c r="K146" s="51">
        <f t="shared" si="61"/>
        <v>136</v>
      </c>
      <c r="L146" s="59" t="str">
        <f t="shared" si="51"/>
        <v>North West Leicestershire</v>
      </c>
      <c r="M146" s="153">
        <f t="shared" si="52"/>
        <v>539</v>
      </c>
      <c r="N146" s="148">
        <f t="shared" si="62"/>
        <v>539</v>
      </c>
      <c r="O146" s="131" t="str">
        <f t="shared" si="53"/>
        <v/>
      </c>
      <c r="P146" s="131" t="str">
        <f t="shared" si="68"/>
        <v/>
      </c>
      <c r="Q146" s="131" t="str">
        <f t="shared" si="69"/>
        <v/>
      </c>
      <c r="R146" s="127">
        <f t="shared" si="70"/>
        <v>539</v>
      </c>
      <c r="S146" s="60" t="str">
        <f t="shared" si="63"/>
        <v/>
      </c>
      <c r="T146" s="228" t="str">
        <f>IF(L146="","",VLOOKUP(L146,classifications!C:K,9,FALSE))</f>
        <v>Sparse</v>
      </c>
      <c r="U146" s="235">
        <f t="shared" si="54"/>
        <v>539</v>
      </c>
      <c r="V146" s="236">
        <f>IF(U146="","",IF($I$8="A",(RANK(U146,U$11:U$355)+COUNTIF(U$11:U146,U146)-1),(RANK(U146,U$11:U$355,1)+COUNTIF(U$11:U146,U146)-1)))</f>
        <v>10</v>
      </c>
      <c r="W146" s="237"/>
      <c r="X146" s="61" t="str">
        <f>IF(L146="","",VLOOKUP($L146,classifications!$C:$J,6,FALSE))</f>
        <v xml:space="preserve">Largely Rural (rural including hub towns 50-79%) </v>
      </c>
      <c r="Y146" s="49" t="str">
        <f t="shared" si="55"/>
        <v/>
      </c>
      <c r="Z146" s="57" t="str">
        <f>IF(Y146="","",IF(I$8="A",(RANK(Y146,Y$11:Y$355,1)+COUNTIF(Y$11:Y146,Y146)-1),(RANK(Y146,Y$11:Y$355)+COUNTIF(Y$11:Y146,Y146)-1)))</f>
        <v/>
      </c>
      <c r="AA146" s="242" t="str">
        <f>IF(L146="","",VLOOKUP($L146,classifications!C:I,7,FALSE))</f>
        <v>Predominantly Rural</v>
      </c>
      <c r="AB146" s="236">
        <f t="shared" si="64"/>
        <v>539</v>
      </c>
      <c r="AC146" s="236">
        <f>IF(AB146="","",IF($I$8="A",(RANK(AB146,AB$11:AB$355)+COUNTIF(AB$11:AB146,AB146)-1),(RANK(AB146,AB$11:AB$355,1)+COUNTIF(AB$11:AB146,AB146)-1)))</f>
        <v>14</v>
      </c>
      <c r="AD146" s="236"/>
      <c r="AE146" s="51" t="str">
        <f t="shared" si="48"/>
        <v/>
      </c>
      <c r="AG146" s="143"/>
      <c r="AH146" s="52"/>
      <c r="AI146" s="61" t="str">
        <f>IF(L146="","",VLOOKUP($L146,classifications!$C:$J,8,FALSE))</f>
        <v>Leicestershire</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East Midlands</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511.8</v>
      </c>
      <c r="AY146" s="156"/>
      <c r="AZ146" s="44"/>
    </row>
    <row r="147" spans="1:52">
      <c r="A147" s="84" t="str">
        <f>$D$1&amp;137</f>
        <v>SD137</v>
      </c>
      <c r="B147" s="85">
        <f>IF(ISERROR(VLOOKUP(A147,classifications!A:C,3,FALSE)),0,VLOOKUP(A147,classifications!A:C,3,FALSE))</f>
        <v>0</v>
      </c>
      <c r="C147" s="31" t="s">
        <v>86</v>
      </c>
      <c r="D147" s="49" t="str">
        <f>VLOOKUP($C147,classifications!$C:$J,4,FALSE)</f>
        <v>SD</v>
      </c>
      <c r="E147" s="49">
        <f>VLOOKUP(C147,classifications!C:K,9,FALSE)</f>
        <v>0</v>
      </c>
      <c r="F147" s="59">
        <f t="shared" si="49"/>
        <v>439</v>
      </c>
      <c r="G147" s="105"/>
      <c r="H147" s="60">
        <f t="shared" si="50"/>
        <v>439</v>
      </c>
      <c r="I147" s="112">
        <f>IF(H147="","",IF($I$8="A",(RANK(H147,H$11:H$355,1)+COUNTIF(H$11:H147,H147)-1),(RANK(H147,H$11:H$355)+COUNTIF(H$11:H147,H147)-1)))</f>
        <v>48</v>
      </c>
      <c r="J147" s="58"/>
      <c r="K147" s="51">
        <f t="shared" si="61"/>
        <v>137</v>
      </c>
      <c r="L147" s="59" t="str">
        <f t="shared" si="51"/>
        <v>North East Derbyshire</v>
      </c>
      <c r="M147" s="153">
        <f t="shared" si="52"/>
        <v>539.20000000000005</v>
      </c>
      <c r="N147" s="148">
        <f t="shared" si="62"/>
        <v>539.20000000000005</v>
      </c>
      <c r="O147" s="131" t="str">
        <f t="shared" si="53"/>
        <v/>
      </c>
      <c r="P147" s="131" t="str">
        <f t="shared" si="68"/>
        <v/>
      </c>
      <c r="Q147" s="131" t="str">
        <f t="shared" si="69"/>
        <v/>
      </c>
      <c r="R147" s="127">
        <f t="shared" si="70"/>
        <v>539.20000000000005</v>
      </c>
      <c r="S147" s="60" t="str">
        <f t="shared" si="63"/>
        <v/>
      </c>
      <c r="T147" s="228">
        <f>IF(L147="","",VLOOKUP(L147,classifications!C:K,9,FALSE))</f>
        <v>0</v>
      </c>
      <c r="U147" s="235" t="str">
        <f t="shared" si="54"/>
        <v/>
      </c>
      <c r="V147" s="236" t="str">
        <f>IF(U147="","",IF($I$8="A",(RANK(U147,U$11:U$355)+COUNTIF(U$11:U147,U147)-1),(RANK(U147,U$11:U$355,1)+COUNTIF(U$11:U147,U147)-1)))</f>
        <v/>
      </c>
      <c r="W147" s="237"/>
      <c r="X147" s="61" t="str">
        <f>IF(L147="","",VLOOKUP($L147,classifications!$C:$J,6,FALSE))</f>
        <v>Urban with City and Town</v>
      </c>
      <c r="Y147" s="49" t="str">
        <f t="shared" si="55"/>
        <v/>
      </c>
      <c r="Z147" s="57" t="str">
        <f>IF(Y147="","",IF(I$8="A",(RANK(Y147,Y$11:Y$355,1)+COUNTIF(Y$11:Y147,Y147)-1),(RANK(Y147,Y$11:Y$355)+COUNTIF(Y$11:Y147,Y147)-1)))</f>
        <v/>
      </c>
      <c r="AA147" s="242" t="str">
        <f>IF(L147="","",VLOOKUP($L147,classifications!C:I,7,FALSE))</f>
        <v>Predominantly Urban</v>
      </c>
      <c r="AB147" s="236" t="str">
        <f t="shared" si="64"/>
        <v/>
      </c>
      <c r="AC147" s="236" t="str">
        <f>IF(AB147="","",IF($I$8="A",(RANK(AB147,AB$11:AB$355)+COUNTIF(AB$11:AB147,AB147)-1),(RANK(AB147,AB$11:AB$355,1)+COUNTIF(AB$11:AB147,AB147)-1)))</f>
        <v/>
      </c>
      <c r="AD147" s="236"/>
      <c r="AE147" s="51" t="str">
        <f t="shared" si="48"/>
        <v/>
      </c>
      <c r="AG147" s="143"/>
      <c r="AH147" s="52"/>
      <c r="AI147" s="61" t="str">
        <f>IF(L147="","",VLOOKUP($L147,classifications!$C:$J,8,FALSE))</f>
        <v>Derbyshire</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East Midlands</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439</v>
      </c>
      <c r="AY147" s="156"/>
      <c r="AZ147" s="44"/>
    </row>
    <row r="148" spans="1:52">
      <c r="A148" s="84" t="str">
        <f>$D$1&amp;138</f>
        <v>SD138</v>
      </c>
      <c r="B148" s="85">
        <f>IF(ISERROR(VLOOKUP(A148,classifications!A:C,3,FALSE)),0,VLOOKUP(A148,classifications!A:C,3,FALSE))</f>
        <v>0</v>
      </c>
      <c r="C148" s="31" t="s">
        <v>209</v>
      </c>
      <c r="D148" s="49" t="str">
        <f>VLOOKUP($C148,classifications!$C:$J,4,FALSE)</f>
        <v>L</v>
      </c>
      <c r="E148" s="49">
        <f>VLOOKUP(C148,classifications!C:K,9,FALSE)</f>
        <v>0</v>
      </c>
      <c r="F148" s="59">
        <f t="shared" si="49"/>
        <v>602.29999999999995</v>
      </c>
      <c r="G148" s="105"/>
      <c r="H148" s="60" t="str">
        <f t="shared" si="50"/>
        <v/>
      </c>
      <c r="I148" s="112" t="str">
        <f>IF(H148="","",IF($I$8="A",(RANK(H148,H$11:H$355,1)+COUNTIF(H$11:H148,H148)-1),(RANK(H148,H$11:H$355)+COUNTIF(H$11:H148,H148)-1)))</f>
        <v/>
      </c>
      <c r="J148" s="58"/>
      <c r="K148" s="51">
        <f t="shared" si="61"/>
        <v>138</v>
      </c>
      <c r="L148" s="59" t="str">
        <f t="shared" si="51"/>
        <v>Northampton</v>
      </c>
      <c r="M148" s="153">
        <f t="shared" si="52"/>
        <v>539.6</v>
      </c>
      <c r="N148" s="148">
        <f t="shared" si="62"/>
        <v>539.6</v>
      </c>
      <c r="O148" s="131" t="str">
        <f t="shared" si="53"/>
        <v/>
      </c>
      <c r="P148" s="131" t="str">
        <f t="shared" si="68"/>
        <v/>
      </c>
      <c r="Q148" s="131" t="str">
        <f t="shared" si="69"/>
        <v/>
      </c>
      <c r="R148" s="127">
        <f t="shared" si="70"/>
        <v>539.6</v>
      </c>
      <c r="S148" s="60" t="str">
        <f t="shared" si="63"/>
        <v/>
      </c>
      <c r="T148" s="228">
        <f>IF(L148="","",VLOOKUP(L148,classifications!C:K,9,FALSE))</f>
        <v>0</v>
      </c>
      <c r="U148" s="235" t="str">
        <f t="shared" si="54"/>
        <v/>
      </c>
      <c r="V148" s="236" t="str">
        <f>IF(U148="","",IF($I$8="A",(RANK(U148,U$11:U$355)+COUNTIF(U$11:U148,U148)-1),(RANK(U148,U$11:U$355,1)+COUNTIF(U$11:U148,U148)-1)))</f>
        <v/>
      </c>
      <c r="W148" s="237"/>
      <c r="X148" s="61" t="str">
        <f>IF(L148="","",VLOOKUP($L148,classifications!$C:$J,6,FALSE))</f>
        <v>Urban with City and Town</v>
      </c>
      <c r="Y148" s="49" t="str">
        <f t="shared" si="55"/>
        <v/>
      </c>
      <c r="Z148" s="57" t="str">
        <f>IF(Y148="","",IF(I$8="A",(RANK(Y148,Y$11:Y$355,1)+COUNTIF(Y$11:Y148,Y148)-1),(RANK(Y148,Y$11:Y$355)+COUNTIF(Y$11:Y148,Y148)-1)))</f>
        <v/>
      </c>
      <c r="AA148" s="242" t="str">
        <f>IF(L148="","",VLOOKUP($L148,classifications!C:I,7,FALSE))</f>
        <v>Predominantly Urban</v>
      </c>
      <c r="AB148" s="236" t="str">
        <f t="shared" si="64"/>
        <v/>
      </c>
      <c r="AC148" s="236" t="str">
        <f>IF(AB148="","",IF($I$8="A",(RANK(AB148,AB$11:AB$355)+COUNTIF(AB$11:AB148,AB148)-1),(RANK(AB148,AB$11:AB$355,1)+COUNTIF(AB$11:AB148,AB148)-1)))</f>
        <v/>
      </c>
      <c r="AD148" s="236"/>
      <c r="AE148" s="51" t="str">
        <f t="shared" si="48"/>
        <v/>
      </c>
      <c r="AG148" s="143"/>
      <c r="AH148" s="52"/>
      <c r="AI148" s="61" t="str">
        <f>IF(L148="","",VLOOKUP($L148,classifications!$C:$J,8,FALSE))</f>
        <v>Northamptonshire</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East Midlands</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602.29999999999995</v>
      </c>
      <c r="AY148" s="156"/>
      <c r="AZ148" s="44"/>
    </row>
    <row r="149" spans="1:52">
      <c r="A149" s="84" t="str">
        <f>$D$1&amp;139</f>
        <v>SD139</v>
      </c>
      <c r="B149" s="85">
        <f>IF(ISERROR(VLOOKUP(A149,classifications!A:C,3,FALSE)),0,VLOOKUP(A149,classifications!A:C,3,FALSE))</f>
        <v>0</v>
      </c>
      <c r="C149" s="31" t="s">
        <v>344</v>
      </c>
      <c r="D149" s="49" t="str">
        <f>VLOOKUP($C149,classifications!$C:$J,4,FALSE)</f>
        <v>SD</v>
      </c>
      <c r="E149" s="49">
        <f>VLOOKUP(C149,classifications!C:K,9,FALSE)</f>
        <v>0</v>
      </c>
      <c r="F149" s="59">
        <f t="shared" si="49"/>
        <v>527.4</v>
      </c>
      <c r="G149" s="105"/>
      <c r="H149" s="60">
        <f t="shared" si="50"/>
        <v>527.4</v>
      </c>
      <c r="I149" s="112">
        <f>IF(H149="","",IF($I$8="A",(RANK(H149,H$11:H$355,1)+COUNTIF(H$11:H149,H149)-1),(RANK(H149,H$11:H$355)+COUNTIF(H$11:H149,H149)-1)))</f>
        <v>125</v>
      </c>
      <c r="J149" s="58"/>
      <c r="K149" s="51">
        <f t="shared" si="61"/>
        <v>139</v>
      </c>
      <c r="L149" s="59" t="str">
        <f t="shared" si="51"/>
        <v>Brentwood</v>
      </c>
      <c r="M149" s="153">
        <f t="shared" si="52"/>
        <v>539.9</v>
      </c>
      <c r="N149" s="148">
        <f t="shared" si="62"/>
        <v>539.9</v>
      </c>
      <c r="O149" s="131" t="str">
        <f t="shared" si="53"/>
        <v/>
      </c>
      <c r="P149" s="131" t="str">
        <f t="shared" si="68"/>
        <v/>
      </c>
      <c r="Q149" s="131" t="str">
        <f t="shared" si="69"/>
        <v/>
      </c>
      <c r="R149" s="127">
        <f t="shared" si="70"/>
        <v>539.9</v>
      </c>
      <c r="S149" s="60" t="str">
        <f t="shared" si="63"/>
        <v/>
      </c>
      <c r="T149" s="228">
        <f>IF(L149="","",VLOOKUP(L149,classifications!C:K,9,FALSE))</f>
        <v>0</v>
      </c>
      <c r="U149" s="235" t="str">
        <f t="shared" si="54"/>
        <v/>
      </c>
      <c r="V149" s="236" t="str">
        <f>IF(U149="","",IF($I$8="A",(RANK(U149,U$11:U$355)+COUNTIF(U$11:U149,U149)-1),(RANK(U149,U$11:U$355,1)+COUNTIF(U$11:U149,U149)-1)))</f>
        <v/>
      </c>
      <c r="W149" s="237"/>
      <c r="X149" s="61" t="str">
        <f>IF(L149="","",VLOOKUP($L149,classifications!$C:$J,6,FALSE))</f>
        <v>Urban with Significant Rural (rural including hub towns 26-49%)</v>
      </c>
      <c r="Y149" s="49" t="str">
        <f t="shared" si="55"/>
        <v/>
      </c>
      <c r="Z149" s="57" t="str">
        <f>IF(Y149="","",IF(I$8="A",(RANK(Y149,Y$11:Y$355,1)+COUNTIF(Y$11:Y149,Y149)-1),(RANK(Y149,Y$11:Y$355)+COUNTIF(Y$11:Y149,Y149)-1)))</f>
        <v/>
      </c>
      <c r="AA149" s="242" t="str">
        <f>IF(L149="","",VLOOKUP($L149,classifications!C:I,7,FALSE))</f>
        <v>Significant Rural</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Essex</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East of England</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f>HLOOKUP($AX$9&amp;$AX$10,Data!$A$1:$ZZ$2000,(MATCH($C149,Data!$A$1:$A$2000,0)),FALSE)</f>
        <v>527.4</v>
      </c>
      <c r="AY149" s="156"/>
      <c r="AZ149" s="44"/>
    </row>
    <row r="150" spans="1:52">
      <c r="A150" s="84" t="str">
        <f>$D$1&amp;140</f>
        <v>SD140</v>
      </c>
      <c r="B150" s="85">
        <f>IF(ISERROR(VLOOKUP(A150,classifications!A:C,3,FALSE)),0,VLOOKUP(A150,classifications!A:C,3,FALSE))</f>
        <v>0</v>
      </c>
      <c r="C150" s="31" t="s">
        <v>87</v>
      </c>
      <c r="D150" s="49" t="str">
        <f>VLOOKUP($C150,classifications!$C:$J,4,FALSE)</f>
        <v>SD</v>
      </c>
      <c r="E150" s="49">
        <f>VLOOKUP(C150,classifications!C:K,9,FALSE)</f>
        <v>0</v>
      </c>
      <c r="F150" s="59">
        <f t="shared" si="49"/>
        <v>412.7</v>
      </c>
      <c r="G150" s="105"/>
      <c r="H150" s="60">
        <f t="shared" si="50"/>
        <v>412.7</v>
      </c>
      <c r="I150" s="112">
        <f>IF(H150="","",IF($I$8="A",(RANK(H150,H$11:H$355,1)+COUNTIF(H$11:H150,H150)-1),(RANK(H150,H$11:H$355)+COUNTIF(H$11:H150,H150)-1)))</f>
        <v>29</v>
      </c>
      <c r="J150" s="58"/>
      <c r="K150" s="51">
        <f t="shared" si="61"/>
        <v>140</v>
      </c>
      <c r="L150" s="59" t="str">
        <f t="shared" si="51"/>
        <v>Melton</v>
      </c>
      <c r="M150" s="153">
        <f t="shared" si="52"/>
        <v>540.20000000000005</v>
      </c>
      <c r="N150" s="148">
        <f t="shared" si="62"/>
        <v>540.20000000000005</v>
      </c>
      <c r="O150" s="131" t="str">
        <f t="shared" si="53"/>
        <v/>
      </c>
      <c r="P150" s="131" t="str">
        <f t="shared" si="68"/>
        <v/>
      </c>
      <c r="Q150" s="131" t="str">
        <f t="shared" si="69"/>
        <v/>
      </c>
      <c r="R150" s="127">
        <f t="shared" si="70"/>
        <v>540.20000000000005</v>
      </c>
      <c r="S150" s="60" t="str">
        <f t="shared" si="63"/>
        <v/>
      </c>
      <c r="T150" s="228" t="str">
        <f>IF(L150="","",VLOOKUP(L150,classifications!C:K,9,FALSE))</f>
        <v>Sparse</v>
      </c>
      <c r="U150" s="235">
        <f t="shared" si="54"/>
        <v>540.20000000000005</v>
      </c>
      <c r="V150" s="236">
        <f>IF(U150="","",IF($I$8="A",(RANK(U150,U$11:U$355)+COUNTIF(U$11:U150,U150)-1),(RANK(U150,U$11:U$355,1)+COUNTIF(U$11:U150,U150)-1)))</f>
        <v>9</v>
      </c>
      <c r="W150" s="237"/>
      <c r="X150" s="61" t="str">
        <f>IF(L150="","",VLOOKUP($L150,classifications!$C:$J,6,FALSE))</f>
        <v xml:space="preserve">Mainly Rural (rural including hub towns &gt;=80%) </v>
      </c>
      <c r="Y150" s="49">
        <f t="shared" si="55"/>
        <v>540.20000000000005</v>
      </c>
      <c r="Z150" s="57">
        <f>IF(Y150="","",IF(I$8="A",(RANK(Y150,Y$11:Y$355,1)+COUNTIF(Y$11:Y150,Y150)-1),(RANK(Y150,Y$11:Y$355)+COUNTIF(Y$11:Y150,Y150)-1)))</f>
        <v>33</v>
      </c>
      <c r="AA150" s="242" t="str">
        <f>IF(L150="","",VLOOKUP($L150,classifications!C:I,7,FALSE))</f>
        <v>Predominantly Rural</v>
      </c>
      <c r="AB150" s="236">
        <f t="shared" si="64"/>
        <v>540.20000000000005</v>
      </c>
      <c r="AC150" s="236">
        <f>IF(AB150="","",IF($I$8="A",(RANK(AB150,AB$11:AB$355)+COUNTIF(AB$11:AB150,AB150)-1),(RANK(AB150,AB$11:AB$355,1)+COUNTIF(AB$11:AB150,AB150)-1)))</f>
        <v>13</v>
      </c>
      <c r="AD150" s="236"/>
      <c r="AE150" s="51" t="str">
        <f t="shared" si="48"/>
        <v/>
      </c>
      <c r="AG150" s="143"/>
      <c r="AH150" s="52"/>
      <c r="AI150" s="61" t="str">
        <f>IF(L150="","",VLOOKUP($L150,classifications!$C:$J,8,FALSE))</f>
        <v>Leicestershire</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East Midlands</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412.7</v>
      </c>
      <c r="AY150" s="156"/>
      <c r="AZ150" s="44"/>
    </row>
    <row r="151" spans="1:52">
      <c r="A151" s="84" t="str">
        <f>$D$1&amp;141</f>
        <v>SD141</v>
      </c>
      <c r="B151" s="85">
        <f>IF(ISERROR(VLOOKUP(A151,classifications!A:C,3,FALSE)),0,VLOOKUP(A151,classifications!A:C,3,FALSE))</f>
        <v>0</v>
      </c>
      <c r="C151" s="31" t="s">
        <v>210</v>
      </c>
      <c r="D151" s="49" t="str">
        <f>VLOOKUP($C151,classifications!$C:$J,4,FALSE)</f>
        <v>L</v>
      </c>
      <c r="E151" s="49">
        <f>VLOOKUP(C151,classifications!C:K,9,FALSE)</f>
        <v>0</v>
      </c>
      <c r="F151" s="59">
        <f t="shared" si="49"/>
        <v>556.29999999999995</v>
      </c>
      <c r="G151" s="105"/>
      <c r="H151" s="60" t="str">
        <f t="shared" si="50"/>
        <v/>
      </c>
      <c r="I151" s="112" t="str">
        <f>IF(H151="","",IF($I$8="A",(RANK(H151,H$11:H$355,1)+COUNTIF(H$11:H151,H151)-1),(RANK(H151,H$11:H$355)+COUNTIF(H$11:H151,H151)-1)))</f>
        <v/>
      </c>
      <c r="J151" s="58"/>
      <c r="K151" s="51">
        <f t="shared" si="61"/>
        <v>141</v>
      </c>
      <c r="L151" s="59" t="str">
        <f t="shared" si="51"/>
        <v>Erewash</v>
      </c>
      <c r="M151" s="153">
        <f t="shared" si="52"/>
        <v>541.29999999999995</v>
      </c>
      <c r="N151" s="148">
        <f t="shared" si="62"/>
        <v>541.29999999999995</v>
      </c>
      <c r="O151" s="131" t="str">
        <f t="shared" si="53"/>
        <v/>
      </c>
      <c r="P151" s="131" t="str">
        <f t="shared" si="68"/>
        <v/>
      </c>
      <c r="Q151" s="131" t="str">
        <f t="shared" si="69"/>
        <v/>
      </c>
      <c r="R151" s="127">
        <f t="shared" si="70"/>
        <v>541.29999999999995</v>
      </c>
      <c r="S151" s="60" t="str">
        <f t="shared" si="63"/>
        <v/>
      </c>
      <c r="T151" s="228">
        <f>IF(L151="","",VLOOKUP(L151,classifications!C:K,9,FALSE))</f>
        <v>0</v>
      </c>
      <c r="U151" s="235" t="str">
        <f t="shared" si="54"/>
        <v/>
      </c>
      <c r="V151" s="236" t="str">
        <f>IF(U151="","",IF($I$8="A",(RANK(U151,U$11:U$355)+COUNTIF(U$11:U151,U151)-1),(RANK(U151,U$11:U$355,1)+COUNTIF(U$11:U151,U151)-1)))</f>
        <v/>
      </c>
      <c r="W151" s="237"/>
      <c r="X151" s="61" t="str">
        <f>IF(L151="","",VLOOKUP($L151,classifications!$C:$J,6,FALSE))</f>
        <v>Urban with Minor Conurbation</v>
      </c>
      <c r="Y151" s="49" t="str">
        <f t="shared" si="55"/>
        <v/>
      </c>
      <c r="Z151" s="57" t="str">
        <f>IF(Y151="","",IF(I$8="A",(RANK(Y151,Y$11:Y$355,1)+COUNTIF(Y$11:Y151,Y151)-1),(RANK(Y151,Y$11:Y$355)+COUNTIF(Y$11:Y151,Y151)-1)))</f>
        <v/>
      </c>
      <c r="AA151" s="242" t="str">
        <f>IF(L151="","",VLOOKUP($L151,classifications!C:I,7,FALSE))</f>
        <v>Predominantly Urban</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Derbyshire</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East Midlands</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f>HLOOKUP($AX$9&amp;$AX$10,Data!$A$1:$ZZ$2000,(MATCH($C151,Data!$A$1:$A$2000,0)),FALSE)</f>
        <v>556.29999999999995</v>
      </c>
      <c r="AY151" s="156"/>
      <c r="AZ151" s="44"/>
    </row>
    <row r="152" spans="1:52">
      <c r="A152" s="84" t="str">
        <f>$D$1&amp;142</f>
        <v>SD142</v>
      </c>
      <c r="B152" s="85">
        <f>IF(ISERROR(VLOOKUP(A152,classifications!A:C,3,FALSE)),0,VLOOKUP(A152,classifications!A:C,3,FALSE))</f>
        <v>0</v>
      </c>
      <c r="C152" s="31" t="s">
        <v>88</v>
      </c>
      <c r="D152" s="49" t="str">
        <f>VLOOKUP($C152,classifications!$C:$J,4,FALSE)</f>
        <v>SD</v>
      </c>
      <c r="E152" s="49">
        <f>VLOOKUP(C152,classifications!C:K,9,FALSE)</f>
        <v>0</v>
      </c>
      <c r="F152" s="59">
        <f t="shared" si="49"/>
        <v>425.8</v>
      </c>
      <c r="G152" s="105"/>
      <c r="H152" s="60">
        <f t="shared" si="50"/>
        <v>425.8</v>
      </c>
      <c r="I152" s="112">
        <f>IF(H152="","",IF($I$8="A",(RANK(H152,H$11:H$355,1)+COUNTIF(H$11:H152,H152)-1),(RANK(H152,H$11:H$355)+COUNTIF(H$11:H152,H152)-1)))</f>
        <v>37</v>
      </c>
      <c r="J152" s="58"/>
      <c r="K152" s="51">
        <f t="shared" si="61"/>
        <v>142</v>
      </c>
      <c r="L152" s="59" t="str">
        <f t="shared" si="51"/>
        <v>Lincoln</v>
      </c>
      <c r="M152" s="153">
        <f t="shared" si="52"/>
        <v>543.20000000000005</v>
      </c>
      <c r="N152" s="148">
        <f t="shared" si="62"/>
        <v>543.20000000000005</v>
      </c>
      <c r="O152" s="131" t="str">
        <f t="shared" si="53"/>
        <v/>
      </c>
      <c r="P152" s="131" t="str">
        <f t="shared" si="68"/>
        <v/>
      </c>
      <c r="Q152" s="131" t="str">
        <f t="shared" si="69"/>
        <v/>
      </c>
      <c r="R152" s="127">
        <f t="shared" si="70"/>
        <v>543.20000000000005</v>
      </c>
      <c r="S152" s="60" t="str">
        <f t="shared" si="63"/>
        <v/>
      </c>
      <c r="T152" s="228">
        <f>IF(L152="","",VLOOKUP(L152,classifications!C:K,9,FALSE))</f>
        <v>0</v>
      </c>
      <c r="U152" s="235" t="str">
        <f t="shared" si="54"/>
        <v/>
      </c>
      <c r="V152" s="236" t="str">
        <f>IF(U152="","",IF($I$8="A",(RANK(U152,U$11:U$355)+COUNTIF(U$11:U152,U152)-1),(RANK(U152,U$11:U$355,1)+COUNTIF(U$11:U152,U152)-1)))</f>
        <v/>
      </c>
      <c r="W152" s="237"/>
      <c r="X152" s="61" t="str">
        <f>IF(L152="","",VLOOKUP($L152,classifications!$C:$J,6,FALSE))</f>
        <v>Urban with City and Town</v>
      </c>
      <c r="Y152" s="49" t="str">
        <f t="shared" si="55"/>
        <v/>
      </c>
      <c r="Z152" s="57" t="str">
        <f>IF(Y152="","",IF(I$8="A",(RANK(Y152,Y$11:Y$355,1)+COUNTIF(Y$11:Y152,Y152)-1),(RANK(Y152,Y$11:Y$355)+COUNTIF(Y$11:Y152,Y152)-1)))</f>
        <v/>
      </c>
      <c r="AA152" s="242" t="str">
        <f>IF(L152="","",VLOOKUP($L152,classifications!C:I,7,FALSE))</f>
        <v>Predominantly Urban</v>
      </c>
      <c r="AB152" s="236" t="str">
        <f t="shared" si="64"/>
        <v/>
      </c>
      <c r="AC152" s="236" t="str">
        <f>IF(AB152="","",IF($I$8="A",(RANK(AB152,AB$11:AB$355)+COUNTIF(AB$11:AB152,AB152)-1),(RANK(AB152,AB$11:AB$355,1)+COUNTIF(AB$11:AB152,AB152)-1)))</f>
        <v/>
      </c>
      <c r="AD152" s="236"/>
      <c r="AE152" s="51" t="str">
        <f t="shared" si="48"/>
        <v/>
      </c>
      <c r="AG152" s="143"/>
      <c r="AH152" s="52"/>
      <c r="AI152" s="61" t="str">
        <f>IF(L152="","",VLOOKUP($L152,classifications!$C:$J,8,FALSE))</f>
        <v>Lincolnshire</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East Midlands</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425.8</v>
      </c>
      <c r="AY152" s="156"/>
      <c r="AZ152" s="44"/>
    </row>
    <row r="153" spans="1:52">
      <c r="A153" s="84" t="str">
        <f>$D$1&amp;143</f>
        <v>SD143</v>
      </c>
      <c r="B153" s="85">
        <f>IF(ISERROR(VLOOKUP(A153,classifications!A:C,3,FALSE)),0,VLOOKUP(A153,classifications!A:C,3,FALSE))</f>
        <v>0</v>
      </c>
      <c r="C153" s="31" t="s">
        <v>89</v>
      </c>
      <c r="D153" s="49" t="str">
        <f>VLOOKUP($C153,classifications!$C:$J,4,FALSE)</f>
        <v>SD</v>
      </c>
      <c r="E153" s="49">
        <f>VLOOKUP(C153,classifications!C:K,9,FALSE)</f>
        <v>0</v>
      </c>
      <c r="F153" s="59">
        <f t="shared" si="49"/>
        <v>439.2</v>
      </c>
      <c r="G153" s="105"/>
      <c r="H153" s="60">
        <f t="shared" si="50"/>
        <v>439.2</v>
      </c>
      <c r="I153" s="112">
        <f>IF(H153="","",IF($I$8="A",(RANK(H153,H$11:H$355,1)+COUNTIF(H$11:H153,H153)-1),(RANK(H153,H$11:H$355)+COUNTIF(H$11:H153,H153)-1)))</f>
        <v>49</v>
      </c>
      <c r="J153" s="58"/>
      <c r="K153" s="51">
        <f t="shared" si="61"/>
        <v>143</v>
      </c>
      <c r="L153" s="59" t="str">
        <f t="shared" si="51"/>
        <v>Broxbourne</v>
      </c>
      <c r="M153" s="153">
        <f t="shared" si="52"/>
        <v>545.29999999999995</v>
      </c>
      <c r="N153" s="148">
        <f t="shared" si="62"/>
        <v>545.29999999999995</v>
      </c>
      <c r="O153" s="131" t="str">
        <f t="shared" si="53"/>
        <v/>
      </c>
      <c r="P153" s="131" t="str">
        <f t="shared" si="68"/>
        <v/>
      </c>
      <c r="Q153" s="131" t="str">
        <f t="shared" si="69"/>
        <v/>
      </c>
      <c r="R153" s="127">
        <f t="shared" si="70"/>
        <v>545.29999999999995</v>
      </c>
      <c r="S153" s="60" t="str">
        <f t="shared" si="63"/>
        <v/>
      </c>
      <c r="T153" s="228">
        <f>IF(L153="","",VLOOKUP(L153,classifications!C:K,9,FALSE))</f>
        <v>0</v>
      </c>
      <c r="U153" s="235" t="str">
        <f t="shared" si="54"/>
        <v/>
      </c>
      <c r="V153" s="236" t="str">
        <f>IF(U153="","",IF($I$8="A",(RANK(U153,U$11:U$355)+COUNTIF(U$11:U153,U153)-1),(RANK(U153,U$11:U$355,1)+COUNTIF(U$11:U153,U153)-1)))</f>
        <v/>
      </c>
      <c r="W153" s="237"/>
      <c r="X153" s="61" t="str">
        <f>IF(L153="","",VLOOKUP($L153,classifications!$C:$J,6,FALSE))</f>
        <v>Urban with Major Conurbation</v>
      </c>
      <c r="Y153" s="49" t="str">
        <f t="shared" si="55"/>
        <v/>
      </c>
      <c r="Z153" s="57" t="str">
        <f>IF(Y153="","",IF(I$8="A",(RANK(Y153,Y$11:Y$355,1)+COUNTIF(Y$11:Y153,Y153)-1),(RANK(Y153,Y$11:Y$355)+COUNTIF(Y$11:Y153,Y153)-1)))</f>
        <v/>
      </c>
      <c r="AA153" s="242" t="str">
        <f>IF(L153="","",VLOOKUP($L153,classifications!C:I,7,FALSE))</f>
        <v>Predominantly Urban</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Hertfordshire</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East of England</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f>HLOOKUP($AX$9&amp;$AX$10,Data!$A$1:$ZZ$2000,(MATCH($C153,Data!$A$1:$A$2000,0)),FALSE)</f>
        <v>439.2</v>
      </c>
      <c r="AY153" s="156"/>
      <c r="AZ153" s="44"/>
    </row>
    <row r="154" spans="1:52">
      <c r="A154" s="84" t="str">
        <f>$D$1&amp;144</f>
        <v>SD144</v>
      </c>
      <c r="B154" s="85">
        <f>IF(ISERROR(VLOOKUP(A154,classifications!A:C,3,FALSE)),0,VLOOKUP(A154,classifications!A:C,3,FALSE))</f>
        <v>0</v>
      </c>
      <c r="C154" s="31" t="s">
        <v>90</v>
      </c>
      <c r="D154" s="49" t="str">
        <f>VLOOKUP($C154,classifications!$C:$J,4,FALSE)</f>
        <v>SD</v>
      </c>
      <c r="E154" s="49">
        <f>VLOOKUP(C154,classifications!C:K,9,FALSE)</f>
        <v>0</v>
      </c>
      <c r="F154" s="59">
        <f t="shared" si="49"/>
        <v>599.20000000000005</v>
      </c>
      <c r="G154" s="105"/>
      <c r="H154" s="60">
        <f t="shared" si="50"/>
        <v>599.20000000000005</v>
      </c>
      <c r="I154" s="112">
        <f>IF(H154="","",IF($I$8="A",(RANK(H154,H$11:H$355,1)+COUNTIF(H$11:H154,H154)-1),(RANK(H154,H$11:H$355)+COUNTIF(H$11:H154,H154)-1)))</f>
        <v>166</v>
      </c>
      <c r="J154" s="58"/>
      <c r="K154" s="51">
        <f t="shared" si="61"/>
        <v>144</v>
      </c>
      <c r="L154" s="59" t="str">
        <f t="shared" si="51"/>
        <v>Redditch</v>
      </c>
      <c r="M154" s="153">
        <f t="shared" si="52"/>
        <v>550.79999999999995</v>
      </c>
      <c r="N154" s="148">
        <f t="shared" si="62"/>
        <v>550.79999999999995</v>
      </c>
      <c r="O154" s="131" t="str">
        <f t="shared" si="53"/>
        <v/>
      </c>
      <c r="P154" s="131" t="str">
        <f t="shared" si="68"/>
        <v/>
      </c>
      <c r="Q154" s="131" t="str">
        <f t="shared" si="69"/>
        <v/>
      </c>
      <c r="R154" s="127">
        <f t="shared" si="70"/>
        <v>550.79999999999995</v>
      </c>
      <c r="S154" s="60" t="str">
        <f t="shared" si="63"/>
        <v/>
      </c>
      <c r="T154" s="228">
        <f>IF(L154="","",VLOOKUP(L154,classifications!C:K,9,FALSE))</f>
        <v>0</v>
      </c>
      <c r="U154" s="235" t="str">
        <f t="shared" si="54"/>
        <v/>
      </c>
      <c r="V154" s="236" t="str">
        <f>IF(U154="","",IF($I$8="A",(RANK(U154,U$11:U$355)+COUNTIF(U$11:U154,U154)-1),(RANK(U154,U$11:U$355,1)+COUNTIF(U$11:U154,U154)-1)))</f>
        <v/>
      </c>
      <c r="W154" s="237"/>
      <c r="X154" s="61" t="str">
        <f>IF(L154="","",VLOOKUP($L154,classifications!$C:$J,6,FALSE))</f>
        <v>Urban with City and Town</v>
      </c>
      <c r="Y154" s="49" t="str">
        <f t="shared" si="55"/>
        <v/>
      </c>
      <c r="Z154" s="57" t="str">
        <f>IF(Y154="","",IF(I$8="A",(RANK(Y154,Y$11:Y$355,1)+COUNTIF(Y$11:Y154,Y154)-1),(RANK(Y154,Y$11:Y$355)+COUNTIF(Y$11:Y154,Y154)-1)))</f>
        <v/>
      </c>
      <c r="AA154" s="242" t="str">
        <f>IF(L154="","",VLOOKUP($L154,classifications!C:I,7,FALSE))</f>
        <v>Predominantly Urban</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Worcestershire</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West Midlands</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599.20000000000005</v>
      </c>
      <c r="AY154" s="156"/>
      <c r="AZ154" s="44"/>
    </row>
    <row r="155" spans="1:52">
      <c r="A155" s="84" t="str">
        <f>$D$1&amp;145</f>
        <v>SD145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373.4</v>
      </c>
      <c r="G155" s="105"/>
      <c r="H155" s="60" t="str">
        <f t="shared" si="50"/>
        <v/>
      </c>
      <c r="I155" s="112" t="str">
        <f>IF(H155="","",IF($I$8="A",(RANK(H155,H$11:H$355,1)+COUNTIF(H$11:H155,H155)-1),(RANK(H155,H$11:H$355)+COUNTIF(H$11:H155,H155)-1)))</f>
        <v/>
      </c>
      <c r="J155" s="58"/>
      <c r="K155" s="51">
        <f t="shared" si="61"/>
        <v>145</v>
      </c>
      <c r="L155" s="59" t="str">
        <f t="shared" si="51"/>
        <v>Havant</v>
      </c>
      <c r="M155" s="153">
        <f t="shared" si="52"/>
        <v>552.29999999999995</v>
      </c>
      <c r="N155" s="148">
        <f t="shared" si="62"/>
        <v>552.29999999999995</v>
      </c>
      <c r="O155" s="131" t="str">
        <f t="shared" si="53"/>
        <v/>
      </c>
      <c r="P155" s="131" t="str">
        <f t="shared" si="68"/>
        <v/>
      </c>
      <c r="Q155" s="131" t="str">
        <f t="shared" si="69"/>
        <v/>
      </c>
      <c r="R155" s="127">
        <f t="shared" si="70"/>
        <v>552.29999999999995</v>
      </c>
      <c r="S155" s="60" t="str">
        <f t="shared" si="63"/>
        <v/>
      </c>
      <c r="T155" s="228">
        <f>IF(L155="","",VLOOKUP(L155,classifications!C:K,9,FALSE))</f>
        <v>0</v>
      </c>
      <c r="U155" s="235" t="str">
        <f t="shared" si="54"/>
        <v/>
      </c>
      <c r="V155" s="236" t="str">
        <f>IF(U155="","",IF($I$8="A",(RANK(U155,U$11:U$355)+COUNTIF(U$11:U155,U155)-1),(RANK(U155,U$11:U$355,1)+COUNTIF(U$11:U155,U155)-1)))</f>
        <v/>
      </c>
      <c r="W155" s="237"/>
      <c r="X155" s="61" t="str">
        <f>IF(L155="","",VLOOKUP($L155,classifications!$C:$J,6,FALSE))</f>
        <v>Urban with City and Town</v>
      </c>
      <c r="Y155" s="49" t="str">
        <f t="shared" si="55"/>
        <v/>
      </c>
      <c r="Z155" s="57" t="str">
        <f>IF(Y155="","",IF(I$8="A",(RANK(Y155,Y$11:Y$355,1)+COUNTIF(Y$11:Y155,Y155)-1),(RANK(Y155,Y$11:Y$355)+COUNTIF(Y$11:Y155,Y155)-1)))</f>
        <v/>
      </c>
      <c r="AA155" s="242" t="str">
        <f>IF(L155="","",VLOOKUP($L155,classifications!C:I,7,FALSE))</f>
        <v>Predominantly Urban</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Hampshire</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South East</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373.4</v>
      </c>
      <c r="AY155" s="156"/>
      <c r="AZ155" s="44"/>
    </row>
    <row r="156" spans="1:52">
      <c r="A156" s="84" t="str">
        <f>$D$1&amp;146</f>
        <v>SD146</v>
      </c>
      <c r="B156" s="85">
        <f>IF(ISERROR(VLOOKUP(A156,classifications!A:C,3,FALSE)),0,VLOOKUP(A156,classifications!A:C,3,FALSE))</f>
        <v>0</v>
      </c>
      <c r="C156" s="31" t="s">
        <v>2</v>
      </c>
      <c r="D156" s="49">
        <f>VLOOKUP($C156,classifications!$C:$J,4,FALSE)</f>
        <v>0</v>
      </c>
      <c r="E156" s="49">
        <f>VLOOKUP(C156,classifications!C:K,9,FALSE)</f>
        <v>0</v>
      </c>
      <c r="F156" s="59">
        <f t="shared" si="49"/>
        <v>776.5</v>
      </c>
      <c r="G156" s="105"/>
      <c r="H156" s="60" t="str">
        <f t="shared" si="50"/>
        <v/>
      </c>
      <c r="I156" s="112" t="str">
        <f>IF(H156="","",IF($I$8="A",(RANK(H156,H$11:H$355,1)+COUNTIF(H$11:H156,H156)-1),(RANK(H156,H$11:H$355)+COUNTIF(H$11:H156,H156)-1)))</f>
        <v/>
      </c>
      <c r="J156" s="58"/>
      <c r="K156" s="51">
        <f t="shared" si="61"/>
        <v>146</v>
      </c>
      <c r="L156" s="59" t="str">
        <f t="shared" si="51"/>
        <v>Wellingborough</v>
      </c>
      <c r="M156" s="153">
        <f t="shared" si="52"/>
        <v>553.1</v>
      </c>
      <c r="N156" s="148">
        <f t="shared" si="62"/>
        <v>553.1</v>
      </c>
      <c r="O156" s="131" t="str">
        <f t="shared" si="53"/>
        <v/>
      </c>
      <c r="P156" s="131" t="str">
        <f t="shared" si="68"/>
        <v/>
      </c>
      <c r="Q156" s="131" t="str">
        <f t="shared" si="69"/>
        <v/>
      </c>
      <c r="R156" s="127">
        <f t="shared" si="70"/>
        <v>553.1</v>
      </c>
      <c r="S156" s="60" t="str">
        <f t="shared" si="63"/>
        <v/>
      </c>
      <c r="T156" s="228">
        <f>IF(L156="","",VLOOKUP(L156,classifications!C:K,9,FALSE))</f>
        <v>0</v>
      </c>
      <c r="U156" s="235" t="str">
        <f t="shared" si="54"/>
        <v/>
      </c>
      <c r="V156" s="236" t="str">
        <f>IF(U156="","",IF($I$8="A",(RANK(U156,U$11:U$355)+COUNTIF(U$11:U156,U156)-1),(RANK(U156,U$11:U$355,1)+COUNTIF(U$11:U156,U156)-1)))</f>
        <v/>
      </c>
      <c r="W156" s="237"/>
      <c r="X156" s="61" t="str">
        <f>IF(L156="","",VLOOKUP($L156,classifications!$C:$J,6,FALSE))</f>
        <v>Urban with Significant Rural (rural including hub towns 26-49%)</v>
      </c>
      <c r="Y156" s="49" t="str">
        <f t="shared" si="55"/>
        <v/>
      </c>
      <c r="Z156" s="57" t="str">
        <f>IF(Y156="","",IF(I$8="A",(RANK(Y156,Y$11:Y$355,1)+COUNTIF(Y$11:Y156,Y156)-1),(RANK(Y156,Y$11:Y$355)+COUNTIF(Y$11:Y156,Y156)-1)))</f>
        <v/>
      </c>
      <c r="AA156" s="242" t="str">
        <f>IF(L156="","",VLOOKUP($L156,classifications!C:I,7,FALSE))</f>
        <v>Significant Rural</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Northamptonshire</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East Midlands</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776.5</v>
      </c>
      <c r="AY156" s="156"/>
      <c r="AZ156" s="44"/>
    </row>
    <row r="157" spans="1:52">
      <c r="A157" s="84" t="str">
        <f>$D$1&amp;147</f>
        <v>SD147</v>
      </c>
      <c r="B157" s="85">
        <f>IF(ISERROR(VLOOKUP(A157,classifications!A:C,3,FALSE)),0,VLOOKUP(A157,classifications!A:C,3,FALSE))</f>
        <v>0</v>
      </c>
      <c r="C157" s="31" t="s">
        <v>211</v>
      </c>
      <c r="D157" s="49" t="str">
        <f>VLOOKUP($C157,classifications!$C:$J,4,FALSE)</f>
        <v>L</v>
      </c>
      <c r="E157" s="49">
        <f>VLOOKUP(C157,classifications!C:K,9,FALSE)</f>
        <v>0</v>
      </c>
      <c r="F157" s="59">
        <f t="shared" si="49"/>
        <v>345.7</v>
      </c>
      <c r="G157" s="105"/>
      <c r="H157" s="60" t="str">
        <f t="shared" si="50"/>
        <v/>
      </c>
      <c r="I157" s="112" t="str">
        <f>IF(H157="","",IF($I$8="A",(RANK(H157,H$11:H$355,1)+COUNTIF(H$11:H157,H157)-1),(RANK(H157,H$11:H$355)+COUNTIF(H$11:H157,H157)-1)))</f>
        <v/>
      </c>
      <c r="J157" s="58"/>
      <c r="K157" s="51">
        <f t="shared" si="61"/>
        <v>147</v>
      </c>
      <c r="L157" s="59" t="str">
        <f t="shared" si="51"/>
        <v>North Kesteven</v>
      </c>
      <c r="M157" s="153">
        <f t="shared" si="52"/>
        <v>554.9</v>
      </c>
      <c r="N157" s="148">
        <f t="shared" si="62"/>
        <v>554.9</v>
      </c>
      <c r="O157" s="131" t="str">
        <f t="shared" si="53"/>
        <v/>
      </c>
      <c r="P157" s="131" t="str">
        <f t="shared" si="68"/>
        <v/>
      </c>
      <c r="Q157" s="131" t="str">
        <f t="shared" si="69"/>
        <v/>
      </c>
      <c r="R157" s="127">
        <f t="shared" si="70"/>
        <v>554.9</v>
      </c>
      <c r="S157" s="60" t="str">
        <f t="shared" si="63"/>
        <v/>
      </c>
      <c r="T157" s="228" t="str">
        <f>IF(L157="","",VLOOKUP(L157,classifications!C:K,9,FALSE))</f>
        <v>Sparse</v>
      </c>
      <c r="U157" s="235">
        <f t="shared" si="54"/>
        <v>554.9</v>
      </c>
      <c r="V157" s="236">
        <f>IF(U157="","",IF($I$8="A",(RANK(U157,U$11:U$355)+COUNTIF(U$11:U157,U157)-1),(RANK(U157,U$11:U$355,1)+COUNTIF(U$11:U157,U157)-1)))</f>
        <v>8</v>
      </c>
      <c r="W157" s="237"/>
      <c r="X157" s="61" t="str">
        <f>IF(L157="","",VLOOKUP($L157,classifications!$C:$J,6,FALSE))</f>
        <v xml:space="preserve">Mainly Rural (rural including hub towns &gt;=80%) </v>
      </c>
      <c r="Y157" s="49">
        <f t="shared" si="55"/>
        <v>554.9</v>
      </c>
      <c r="Z157" s="57">
        <f>IF(Y157="","",IF(I$8="A",(RANK(Y157,Y$11:Y$355,1)+COUNTIF(Y$11:Y157,Y157)-1),(RANK(Y157,Y$11:Y$355)+COUNTIF(Y$11:Y157,Y157)-1)))</f>
        <v>34</v>
      </c>
      <c r="AA157" s="242" t="str">
        <f>IF(L157="","",VLOOKUP($L157,classifications!C:I,7,FALSE))</f>
        <v>Predominantly Rural</v>
      </c>
      <c r="AB157" s="236">
        <f t="shared" si="64"/>
        <v>554.9</v>
      </c>
      <c r="AC157" s="236">
        <f>IF(AB157="","",IF($I$8="A",(RANK(AB157,AB$11:AB$355)+COUNTIF(AB$11:AB157,AB157)-1),(RANK(AB157,AB$11:AB$355,1)+COUNTIF(AB$11:AB157,AB157)-1)))</f>
        <v>12</v>
      </c>
      <c r="AD157" s="236"/>
      <c r="AE157" s="51" t="str">
        <f t="shared" si="48"/>
        <v/>
      </c>
      <c r="AG157" s="143"/>
      <c r="AH157" s="52"/>
      <c r="AI157" s="61" t="str">
        <f>IF(L157="","",VLOOKUP($L157,classifications!$C:$J,8,FALSE))</f>
        <v>Lincolnshire</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East Midlands</v>
      </c>
      <c r="AQ157" s="62" t="str">
        <f t="shared" si="66"/>
        <v/>
      </c>
      <c r="AR157" s="57" t="str">
        <f>IF(AQ157="","",IF(I$8="A",(RANK(AQ157,AQ$11:AQ$355,1)+COUNTIF(AQ$11:AQ157,AQ157)-1),(RANK(AQ157,AQ$11:AQ$355)+COUNTIF(AQ$11:AQ157,AQ157)-1)))</f>
        <v/>
      </c>
      <c r="AS157" s="52" t="str">
        <f t="shared" si="67"/>
        <v/>
      </c>
      <c r="AT157" s="57" t="str">
        <f t="shared" si="59"/>
        <v/>
      </c>
      <c r="AU157" s="62" t="str">
        <f t="shared" si="60"/>
        <v/>
      </c>
      <c r="AX157" s="44">
        <f>HLOOKUP($AX$9&amp;$AX$10,Data!$A$1:$ZZ$2000,(MATCH($C157,Data!$A$1:$A$2000,0)),FALSE)</f>
        <v>345.7</v>
      </c>
      <c r="AY157" s="156"/>
      <c r="AZ157" s="44"/>
    </row>
    <row r="158" spans="1:52">
      <c r="A158" s="84" t="str">
        <f>$D$1&amp;148</f>
        <v>SD148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f t="shared" si="61"/>
        <v>148</v>
      </c>
      <c r="L158" s="59" t="str">
        <f t="shared" si="51"/>
        <v>Rushmoor</v>
      </c>
      <c r="M158" s="153">
        <f t="shared" si="52"/>
        <v>556.79999999999995</v>
      </c>
      <c r="N158" s="148">
        <f t="shared" si="62"/>
        <v>556.79999999999995</v>
      </c>
      <c r="O158" s="131" t="str">
        <f t="shared" si="53"/>
        <v/>
      </c>
      <c r="P158" s="131" t="str">
        <f t="shared" si="68"/>
        <v/>
      </c>
      <c r="Q158" s="131" t="str">
        <f t="shared" si="69"/>
        <v/>
      </c>
      <c r="R158" s="127">
        <f t="shared" si="70"/>
        <v>556.79999999999995</v>
      </c>
      <c r="S158" s="60" t="str">
        <f t="shared" si="63"/>
        <v/>
      </c>
      <c r="T158" s="228">
        <f>IF(L158="","",VLOOKUP(L158,classifications!C:K,9,FALSE))</f>
        <v>0</v>
      </c>
      <c r="U158" s="235" t="str">
        <f t="shared" si="54"/>
        <v/>
      </c>
      <c r="V158" s="236" t="str">
        <f>IF(U158="","",IF($I$8="A",(RANK(U158,U$11:U$355)+COUNTIF(U$11:U158,U158)-1),(RANK(U158,U$11:U$355,1)+COUNTIF(U$11:U158,U158)-1)))</f>
        <v/>
      </c>
      <c r="W158" s="237"/>
      <c r="X158" s="61" t="str">
        <f>IF(L158="","",VLOOKUP($L158,classifications!$C:$J,6,FALSE))</f>
        <v>Urban with City and Town</v>
      </c>
      <c r="Y158" s="49" t="str">
        <f t="shared" si="55"/>
        <v/>
      </c>
      <c r="Z158" s="57" t="str">
        <f>IF(Y158="","",IF(I$8="A",(RANK(Y158,Y$11:Y$355,1)+COUNTIF(Y$11:Y158,Y158)-1),(RANK(Y158,Y$11:Y$355)+COUNTIF(Y$11:Y158,Y158)-1)))</f>
        <v/>
      </c>
      <c r="AA158" s="242" t="str">
        <f>IF(L158="","",VLOOKUP($L158,classifications!C:I,7,FALSE))</f>
        <v>Predominantly Urban</v>
      </c>
      <c r="AB158" s="236" t="str">
        <f t="shared" si="64"/>
        <v/>
      </c>
      <c r="AC158" s="236" t="str">
        <f>IF(AB158="","",IF($I$8="A",(RANK(AB158,AB$11:AB$355)+COUNTIF(AB$11:AB158,AB158)-1),(RANK(AB158,AB$11:AB$355,1)+COUNTIF(AB$11:AB158,AB158)-1)))</f>
        <v/>
      </c>
      <c r="AD158" s="236"/>
      <c r="AE158" s="51" t="str">
        <f t="shared" si="48"/>
        <v/>
      </c>
      <c r="AG158" s="143"/>
      <c r="AH158" s="52"/>
      <c r="AI158" s="61" t="str">
        <f>IF(L158="","",VLOOKUP($L158,classifications!$C:$J,8,FALSE))</f>
        <v>Hampshire</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South East</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SD149</v>
      </c>
      <c r="B159" s="85">
        <f>IF(ISERROR(VLOOKUP(A159,classifications!A:C,3,FALSE)),0,VLOOKUP(A159,classifications!A:C,3,FALSE))</f>
        <v>0</v>
      </c>
      <c r="C159" s="31" t="s">
        <v>315</v>
      </c>
      <c r="D159" s="49" t="str">
        <f>VLOOKUP($C159,classifications!$C:$J,4,FALSE)</f>
        <v>SC</v>
      </c>
      <c r="E159" s="49">
        <f>VLOOKUP(C159,classifications!C:K,9,FALSE)</f>
        <v>0</v>
      </c>
      <c r="F159" s="59">
        <f t="shared" si="49"/>
        <v>549.1</v>
      </c>
      <c r="G159" s="105"/>
      <c r="H159" s="60" t="str">
        <f t="shared" si="50"/>
        <v/>
      </c>
      <c r="I159" s="112" t="str">
        <f>IF(H159="","",IF($I$8="A",(RANK(H159,H$11:H$355,1)+COUNTIF(H$11:H159,H159)-1),(RANK(H159,H$11:H$355)+COUNTIF(H$11:H159,H159)-1)))</f>
        <v/>
      </c>
      <c r="J159" s="58"/>
      <c r="K159" s="51">
        <f t="shared" si="61"/>
        <v>149</v>
      </c>
      <c r="L159" s="59" t="str">
        <f t="shared" si="51"/>
        <v>West Suffolk</v>
      </c>
      <c r="M159" s="153">
        <f t="shared" si="52"/>
        <v>558.79999999999995</v>
      </c>
      <c r="N159" s="148">
        <f t="shared" si="62"/>
        <v>558.79999999999995</v>
      </c>
      <c r="O159" s="131" t="str">
        <f t="shared" si="53"/>
        <v/>
      </c>
      <c r="P159" s="131" t="str">
        <f t="shared" si="68"/>
        <v/>
      </c>
      <c r="Q159" s="131" t="str">
        <f t="shared" si="69"/>
        <v/>
      </c>
      <c r="R159" s="127">
        <f t="shared" si="70"/>
        <v>558.79999999999995</v>
      </c>
      <c r="S159" s="60" t="str">
        <f t="shared" si="63"/>
        <v/>
      </c>
      <c r="T159" s="228" t="str">
        <f>IF(L159="","",VLOOKUP(L159,classifications!C:K,9,FALSE))</f>
        <v>Sparse</v>
      </c>
      <c r="U159" s="235">
        <f t="shared" si="54"/>
        <v>558.79999999999995</v>
      </c>
      <c r="V159" s="236">
        <f>IF(U159="","",IF($I$8="A",(RANK(U159,U$11:U$355)+COUNTIF(U$11:U159,U159)-1),(RANK(U159,U$11:U$355,1)+COUNTIF(U$11:U159,U159)-1)))</f>
        <v>7</v>
      </c>
      <c r="W159" s="237"/>
      <c r="X159" s="61" t="str">
        <f>IF(L159="","",VLOOKUP($L159,classifications!$C:$J,6,FALSE))</f>
        <v xml:space="preserve">Largely Rural (rural including hub towns 50-79%) </v>
      </c>
      <c r="Y159" s="49" t="str">
        <f t="shared" si="55"/>
        <v/>
      </c>
      <c r="Z159" s="57" t="str">
        <f>IF(Y159="","",IF(I$8="A",(RANK(Y159,Y$11:Y$355,1)+COUNTIF(Y$11:Y159,Y159)-1),(RANK(Y159,Y$11:Y$355)+COUNTIF(Y$11:Y159,Y159)-1)))</f>
        <v/>
      </c>
      <c r="AA159" s="242" t="str">
        <f>IF(L159="","",VLOOKUP($L159,classifications!C:I,7,FALSE))</f>
        <v>Predominantly Rural</v>
      </c>
      <c r="AB159" s="236">
        <f t="shared" si="64"/>
        <v>558.79999999999995</v>
      </c>
      <c r="AC159" s="236">
        <f>IF(AB159="","",IF($I$8="A",(RANK(AB159,AB$11:AB$355)+COUNTIF(AB$11:AB159,AB159)-1),(RANK(AB159,AB$11:AB$355,1)+COUNTIF(AB$11:AB159,AB159)-1)))</f>
        <v>11</v>
      </c>
      <c r="AD159" s="236"/>
      <c r="AE159" s="51" t="str">
        <f t="shared" si="48"/>
        <v/>
      </c>
      <c r="AG159" s="143"/>
      <c r="AH159" s="52"/>
      <c r="AI159" s="61" t="str">
        <f>IF(L159="","",VLOOKUP($L159,classifications!$C:$J,8,FALSE))</f>
        <v>Suffolk</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East of England</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549.1</v>
      </c>
      <c r="AY159" s="156"/>
      <c r="AZ159" s="44"/>
    </row>
    <row r="160" spans="1:52">
      <c r="A160" s="84" t="str">
        <f>$D$1&amp;150</f>
        <v>SD150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v>
      </c>
      <c r="I160" s="112" t="e">
        <f>IF(H160="","",IF($I$8="A",(RANK(H160,H$11:H$355,1)+COUNTIF(H$11:H160,H160)-1),(RANK(H160,H$11:H$355)+COUNTIF(H$11:H160,H160)-1)))</f>
        <v>#VALUE!</v>
      </c>
      <c r="J160" s="58"/>
      <c r="K160" s="51">
        <f t="shared" si="61"/>
        <v>150</v>
      </c>
      <c r="L160" s="59" t="str">
        <f t="shared" si="51"/>
        <v>Nuneaton &amp; Bedworth</v>
      </c>
      <c r="M160" s="153">
        <f t="shared" si="52"/>
        <v>559.20000000000005</v>
      </c>
      <c r="N160" s="148">
        <f t="shared" si="62"/>
        <v>559.20000000000005</v>
      </c>
      <c r="O160" s="131" t="str">
        <f t="shared" si="53"/>
        <v/>
      </c>
      <c r="P160" s="131" t="str">
        <f t="shared" si="68"/>
        <v/>
      </c>
      <c r="Q160" s="131" t="str">
        <f t="shared" si="69"/>
        <v/>
      </c>
      <c r="R160" s="127">
        <f t="shared" si="70"/>
        <v>559.20000000000005</v>
      </c>
      <c r="S160" s="60" t="str">
        <f t="shared" si="63"/>
        <v/>
      </c>
      <c r="T160" s="228">
        <f>IF(L160="","",VLOOKUP(L160,classifications!C:K,9,FALSE))</f>
        <v>0</v>
      </c>
      <c r="U160" s="235" t="str">
        <f t="shared" si="54"/>
        <v/>
      </c>
      <c r="V160" s="236" t="str">
        <f>IF(U160="","",IF($I$8="A",(RANK(U160,U$11:U$355)+COUNTIF(U$11:U160,U160)-1),(RANK(U160,U$11:U$355,1)+COUNTIF(U$11:U160,U160)-1)))</f>
        <v/>
      </c>
      <c r="W160" s="237"/>
      <c r="X160" s="61" t="str">
        <f>IF(L160="","",VLOOKUP($L160,classifications!$C:$J,6,FALSE))</f>
        <v>Urban with City and Town</v>
      </c>
      <c r="Y160" s="49" t="str">
        <f t="shared" si="55"/>
        <v/>
      </c>
      <c r="Z160" s="57" t="str">
        <f>IF(Y160="","",IF(I$8="A",(RANK(Y160,Y$11:Y$355,1)+COUNTIF(Y$11:Y160,Y160)-1),(RANK(Y160,Y$11:Y$355)+COUNTIF(Y$11:Y160,Y160)-1)))</f>
        <v/>
      </c>
      <c r="AA160" s="242" t="str">
        <f>IF(L160="","",VLOOKUP($L160,classifications!C:I,7,FALSE))</f>
        <v>Predominantly Urban</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Warwickshire</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West Midlands</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SD151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532.1</v>
      </c>
      <c r="G161" s="105"/>
      <c r="H161" s="60">
        <f t="shared" si="50"/>
        <v>532.1</v>
      </c>
      <c r="I161" s="112">
        <f>IF(H161="","",IF($I$8="A",(RANK(H161,H$11:H$355,1)+COUNTIF(H$11:H161,H161)-1),(RANK(H161,H$11:H$355)+COUNTIF(H$11:H161,H161)-1)))</f>
        <v>130</v>
      </c>
      <c r="J161" s="58"/>
      <c r="K161" s="51">
        <f t="shared" si="61"/>
        <v>151</v>
      </c>
      <c r="L161" s="59" t="str">
        <f t="shared" si="51"/>
        <v>Allerdale</v>
      </c>
      <c r="M161" s="153">
        <f t="shared" si="52"/>
        <v>560.1</v>
      </c>
      <c r="N161" s="148">
        <f t="shared" si="62"/>
        <v>560.1</v>
      </c>
      <c r="O161" s="131" t="str">
        <f t="shared" si="53"/>
        <v/>
      </c>
      <c r="P161" s="131" t="str">
        <f t="shared" si="68"/>
        <v/>
      </c>
      <c r="Q161" s="131" t="str">
        <f t="shared" si="69"/>
        <v/>
      </c>
      <c r="R161" s="127">
        <f t="shared" si="70"/>
        <v>560.1</v>
      </c>
      <c r="S161" s="60" t="str">
        <f t="shared" si="63"/>
        <v>u</v>
      </c>
      <c r="T161" s="228" t="str">
        <f>IF(L161="","",VLOOKUP(L161,classifications!C:K,9,FALSE))</f>
        <v>Sparse</v>
      </c>
      <c r="U161" s="235">
        <f t="shared" si="54"/>
        <v>560.1</v>
      </c>
      <c r="V161" s="236">
        <f>IF(U161="","",IF($I$8="A",(RANK(U161,U$11:U$355)+COUNTIF(U$11:U161,U161)-1),(RANK(U161,U$11:U$355,1)+COUNTIF(U$11:U161,U161)-1)))</f>
        <v>6</v>
      </c>
      <c r="W161" s="237"/>
      <c r="X161" s="61" t="str">
        <f>IF(L161="","",VLOOKUP($L161,classifications!$C:$J,6,FALSE))</f>
        <v xml:space="preserve">Mainly Rural (rural including hub towns &gt;=80%) </v>
      </c>
      <c r="Y161" s="49">
        <f t="shared" si="55"/>
        <v>560.1</v>
      </c>
      <c r="Z161" s="57">
        <f>IF(Y161="","",IF(I$8="A",(RANK(Y161,Y$11:Y$355,1)+COUNTIF(Y$11:Y161,Y161)-1),(RANK(Y161,Y$11:Y$355)+COUNTIF(Y$11:Y161,Y161)-1)))</f>
        <v>35</v>
      </c>
      <c r="AA161" s="242" t="str">
        <f>IF(L161="","",VLOOKUP($L161,classifications!C:I,7,FALSE))</f>
        <v>Predominantly Rural</v>
      </c>
      <c r="AB161" s="236">
        <f t="shared" si="64"/>
        <v>560.1</v>
      </c>
      <c r="AC161" s="236">
        <f>IF(AB161="","",IF($I$8="A",(RANK(AB161,AB$11:AB$355)+COUNTIF(AB$11:AB161,AB161)-1),(RANK(AB161,AB$11:AB$355,1)+COUNTIF(AB$11:AB161,AB161)-1)))</f>
        <v>10</v>
      </c>
      <c r="AD161" s="236"/>
      <c r="AE161" s="51" t="str">
        <f t="shared" si="48"/>
        <v/>
      </c>
      <c r="AG161" s="143"/>
      <c r="AH161" s="52"/>
      <c r="AI161" s="61" t="str">
        <f>IF(L161="","",VLOOKUP($L161,classifications!$C:$J,8,FALSE))</f>
        <v>Cumbria</v>
      </c>
      <c r="AJ161" s="62">
        <f t="shared" si="56"/>
        <v>560.1</v>
      </c>
      <c r="AK161" s="57">
        <f>IF(AJ161="","",IF(I$8="A",(RANK(AJ161,AJ$11:AJ$355,1)+COUNTIF(AJ$11:AJ161,AJ161)-1),(RANK(AJ161,AJ$11:AJ$355)+COUNTIF(AJ$11:AJ161,AJ161)-1)))</f>
        <v>5</v>
      </c>
      <c r="AL161" s="52" t="str">
        <f t="shared" si="65"/>
        <v/>
      </c>
      <c r="AM161" s="31" t="str">
        <f t="shared" si="57"/>
        <v/>
      </c>
      <c r="AN161" s="31" t="str">
        <f t="shared" si="58"/>
        <v/>
      </c>
      <c r="AP161" s="61" t="str">
        <f>IF(L161="","",VLOOKUP($L161,classifications!$C:$E,3,FALSE))</f>
        <v>North West</v>
      </c>
      <c r="AQ161" s="62">
        <f t="shared" si="66"/>
        <v>560.1</v>
      </c>
      <c r="AR161" s="57">
        <f>IF(AQ161="","",IF(I$8="A",(RANK(AQ161,AQ$11:AQ$355,1)+COUNTIF(AQ$11:AQ161,AQ161)-1),(RANK(AQ161,AQ$11:AQ$355)+COUNTIF(AQ$11:AQ161,AQ161)-1)))</f>
        <v>14</v>
      </c>
      <c r="AS161" s="52" t="str">
        <f t="shared" si="67"/>
        <v/>
      </c>
      <c r="AT161" s="57" t="str">
        <f t="shared" si="59"/>
        <v/>
      </c>
      <c r="AU161" s="62" t="str">
        <f t="shared" si="60"/>
        <v/>
      </c>
      <c r="AX161" s="44">
        <f>HLOOKUP($AX$9&amp;$AX$10,Data!$A$1:$ZZ$2000,(MATCH($C161,Data!$A$1:$A$2000,0)),FALSE)</f>
        <v>532.1</v>
      </c>
      <c r="AY161" s="156"/>
      <c r="AZ161" s="44"/>
    </row>
    <row r="162" spans="1:52">
      <c r="A162" s="84" t="str">
        <f>$D$1&amp;152</f>
        <v>SD152</v>
      </c>
      <c r="B162" s="85">
        <f>IF(ISERROR(VLOOKUP(A162,classifications!A:C,3,FALSE)),0,VLOOKUP(A162,classifications!A:C,3,FALSE))</f>
        <v>0</v>
      </c>
      <c r="C162" s="31" t="s">
        <v>817</v>
      </c>
      <c r="D162" s="49" t="str">
        <f>VLOOKUP($C162,classifications!$C:$J,4,FALSE)</f>
        <v>UA</v>
      </c>
      <c r="E162" s="49">
        <f>VLOOKUP(C162,classifications!C:K,9,FALSE)</f>
        <v>0</v>
      </c>
      <c r="F162" s="59">
        <f t="shared" si="49"/>
        <v>468.8</v>
      </c>
      <c r="G162" s="105"/>
      <c r="H162" s="60" t="str">
        <f t="shared" si="50"/>
        <v/>
      </c>
      <c r="I162" s="112" t="str">
        <f>IF(H162="","",IF($I$8="A",(RANK(H162,H$11:H$355,1)+COUNTIF(H$11:H162,H162)-1),(RANK(H162,H$11:H$355)+COUNTIF(H$11:H162,H162)-1)))</f>
        <v/>
      </c>
      <c r="J162" s="58"/>
      <c r="K162" s="51">
        <f t="shared" si="61"/>
        <v>152</v>
      </c>
      <c r="L162" s="59" t="str">
        <f t="shared" si="51"/>
        <v>Fenland</v>
      </c>
      <c r="M162" s="153">
        <f t="shared" si="52"/>
        <v>563.4</v>
      </c>
      <c r="N162" s="148">
        <f t="shared" si="62"/>
        <v>563.4</v>
      </c>
      <c r="O162" s="131" t="str">
        <f t="shared" si="53"/>
        <v/>
      </c>
      <c r="P162" s="131" t="str">
        <f t="shared" si="68"/>
        <v/>
      </c>
      <c r="Q162" s="131" t="str">
        <f t="shared" si="69"/>
        <v/>
      </c>
      <c r="R162" s="127">
        <f t="shared" si="70"/>
        <v>563.4</v>
      </c>
      <c r="S162" s="60" t="str">
        <f t="shared" si="63"/>
        <v/>
      </c>
      <c r="T162" s="228">
        <f>IF(L162="","",VLOOKUP(L162,classifications!C:K,9,FALSE))</f>
        <v>0</v>
      </c>
      <c r="U162" s="235" t="str">
        <f t="shared" si="54"/>
        <v/>
      </c>
      <c r="V162" s="236" t="str">
        <f>IF(U162="","",IF($I$8="A",(RANK(U162,U$11:U$355)+COUNTIF(U$11:U162,U162)-1),(RANK(U162,U$11:U$355,1)+COUNTIF(U$11:U162,U162)-1)))</f>
        <v/>
      </c>
      <c r="W162" s="237"/>
      <c r="X162" s="61" t="str">
        <f>IF(L162="","",VLOOKUP($L162,classifications!$C:$J,6,FALSE))</f>
        <v xml:space="preserve">Largely Rural (rural including hub towns 50-79%) </v>
      </c>
      <c r="Y162" s="49" t="str">
        <f t="shared" si="55"/>
        <v/>
      </c>
      <c r="Z162" s="57" t="str">
        <f>IF(Y162="","",IF(I$8="A",(RANK(Y162,Y$11:Y$355,1)+COUNTIF(Y$11:Y162,Y162)-1),(RANK(Y162,Y$11:Y$355)+COUNTIF(Y$11:Y162,Y162)-1)))</f>
        <v/>
      </c>
      <c r="AA162" s="242" t="str">
        <f>IF(L162="","",VLOOKUP($L162,classifications!C:I,7,FALSE))</f>
        <v>Predominantly Rural</v>
      </c>
      <c r="AB162" s="236">
        <f t="shared" si="64"/>
        <v>563.4</v>
      </c>
      <c r="AC162" s="236">
        <f>IF(AB162="","",IF($I$8="A",(RANK(AB162,AB$11:AB$355)+COUNTIF(AB$11:AB162,AB162)-1),(RANK(AB162,AB$11:AB$355,1)+COUNTIF(AB$11:AB162,AB162)-1)))</f>
        <v>9</v>
      </c>
      <c r="AD162" s="236"/>
      <c r="AE162" s="51" t="str">
        <f t="shared" si="48"/>
        <v/>
      </c>
      <c r="AG162" s="143"/>
      <c r="AH162" s="52"/>
      <c r="AI162" s="61" t="str">
        <f>IF(L162="","",VLOOKUP($L162,classifications!$C:$J,8,FALSE))</f>
        <v>Cambridgeshire</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East of England</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468.8</v>
      </c>
      <c r="AY162" s="156"/>
      <c r="AZ162" s="44"/>
    </row>
    <row r="163" spans="1:52">
      <c r="A163" s="84" t="str">
        <f>$D$1&amp;153</f>
        <v>SD153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f t="shared" si="61"/>
        <v>153</v>
      </c>
      <c r="L163" s="59" t="str">
        <f t="shared" si="51"/>
        <v>Broxtowe</v>
      </c>
      <c r="M163" s="153">
        <f t="shared" si="52"/>
        <v>564.20000000000005</v>
      </c>
      <c r="N163" s="148">
        <f t="shared" si="62"/>
        <v>564.20000000000005</v>
      </c>
      <c r="O163" s="131" t="str">
        <f t="shared" si="53"/>
        <v/>
      </c>
      <c r="P163" s="131" t="str">
        <f t="shared" si="68"/>
        <v/>
      </c>
      <c r="Q163" s="131" t="str">
        <f t="shared" si="69"/>
        <v/>
      </c>
      <c r="R163" s="127">
        <f t="shared" si="70"/>
        <v>564.20000000000005</v>
      </c>
      <c r="S163" s="60" t="str">
        <f t="shared" si="63"/>
        <v/>
      </c>
      <c r="T163" s="228">
        <f>IF(L163="","",VLOOKUP(L163,classifications!C:K,9,FALSE))</f>
        <v>0</v>
      </c>
      <c r="U163" s="235" t="str">
        <f t="shared" si="54"/>
        <v/>
      </c>
      <c r="V163" s="236" t="str">
        <f>IF(U163="","",IF($I$8="A",(RANK(U163,U$11:U$355)+COUNTIF(U$11:U163,U163)-1),(RANK(U163,U$11:U$355,1)+COUNTIF(U$11:U163,U163)-1)))</f>
        <v/>
      </c>
      <c r="W163" s="237"/>
      <c r="X163" s="61" t="str">
        <f>IF(L163="","",VLOOKUP($L163,classifications!$C:$J,6,FALSE))</f>
        <v>Urban with Minor Conurbation</v>
      </c>
      <c r="Y163" s="49" t="str">
        <f t="shared" si="55"/>
        <v/>
      </c>
      <c r="Z163" s="57" t="str">
        <f>IF(Y163="","",IF(I$8="A",(RANK(Y163,Y$11:Y$355,1)+COUNTIF(Y$11:Y163,Y163)-1),(RANK(Y163,Y$11:Y$355)+COUNTIF(Y$11:Y163,Y163)-1)))</f>
        <v/>
      </c>
      <c r="AA163" s="242" t="str">
        <f>IF(L163="","",VLOOKUP($L163,classifications!C:I,7,FALSE))</f>
        <v>Predominantly Urban</v>
      </c>
      <c r="AB163" s="236" t="str">
        <f t="shared" si="64"/>
        <v/>
      </c>
      <c r="AC163" s="236" t="str">
        <f>IF(AB163="","",IF($I$8="A",(RANK(AB163,AB$11:AB$355)+COUNTIF(AB$11:AB163,AB163)-1),(RANK(AB163,AB$11:AB$355,1)+COUNTIF(AB$11:AB163,AB163)-1)))</f>
        <v/>
      </c>
      <c r="AD163" s="236"/>
      <c r="AE163" s="51" t="str">
        <f t="shared" ref="AE163:AE226" si="71">IF(AE162="","",IF(AE162+1&gt;(COUNT(AG:AG)),"",AE162+1))</f>
        <v/>
      </c>
      <c r="AG163" s="143"/>
      <c r="AH163" s="52"/>
      <c r="AI163" s="61" t="str">
        <f>IF(L163="","",VLOOKUP($L163,classifications!$C:$J,8,FALSE))</f>
        <v>Nottinghamshire</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East Midlands</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SD154</v>
      </c>
      <c r="B164" s="85">
        <f>IF(ISERROR(VLOOKUP(A164,classifications!A:C,3,FALSE)),0,VLOOKUP(A164,classifications!A:C,3,FALSE))</f>
        <v>0</v>
      </c>
      <c r="C164" s="31" t="s">
        <v>232</v>
      </c>
      <c r="D164" s="49" t="str">
        <f>VLOOKUP($C164,classifications!$C:$J,4,FALSE)</f>
        <v>MD</v>
      </c>
      <c r="E164" s="49">
        <f>VLOOKUP(C164,classifications!C:K,9,FALSE)</f>
        <v>0</v>
      </c>
      <c r="F164" s="59">
        <f t="shared" si="49"/>
        <v>669.1</v>
      </c>
      <c r="G164" s="105"/>
      <c r="H164" s="60" t="str">
        <f t="shared" si="50"/>
        <v/>
      </c>
      <c r="I164" s="112" t="str">
        <f>IF(H164="","",IF($I$8="A",(RANK(H164,H$11:H$355,1)+COUNTIF(H$11:H164,H164)-1),(RANK(H164,H$11:H$355)+COUNTIF(H$11:H164,H164)-1)))</f>
        <v/>
      </c>
      <c r="J164" s="58"/>
      <c r="K164" s="51">
        <f t="shared" si="61"/>
        <v>154</v>
      </c>
      <c r="L164" s="59" t="str">
        <f t="shared" si="51"/>
        <v>North Warwickshire</v>
      </c>
      <c r="M164" s="153">
        <f t="shared" si="52"/>
        <v>564.9</v>
      </c>
      <c r="N164" s="148">
        <f t="shared" si="62"/>
        <v>564.9</v>
      </c>
      <c r="O164" s="131" t="str">
        <f t="shared" si="53"/>
        <v/>
      </c>
      <c r="P164" s="131" t="str">
        <f t="shared" si="68"/>
        <v/>
      </c>
      <c r="Q164" s="131" t="str">
        <f t="shared" si="69"/>
        <v/>
      </c>
      <c r="R164" s="127">
        <f t="shared" si="70"/>
        <v>564.9</v>
      </c>
      <c r="S164" s="60" t="str">
        <f t="shared" si="63"/>
        <v/>
      </c>
      <c r="T164" s="228">
        <f>IF(L164="","",VLOOKUP(L164,classifications!C:K,9,FALSE))</f>
        <v>0</v>
      </c>
      <c r="U164" s="235" t="str">
        <f t="shared" si="54"/>
        <v/>
      </c>
      <c r="V164" s="236" t="str">
        <f>IF(U164="","",IF($I$8="A",(RANK(U164,U$11:U$355)+COUNTIF(U$11:U164,U164)-1),(RANK(U164,U$11:U$355,1)+COUNTIF(U$11:U164,U164)-1)))</f>
        <v/>
      </c>
      <c r="W164" s="237"/>
      <c r="X164" s="61" t="str">
        <f>IF(L164="","",VLOOKUP($L164,classifications!$C:$J,6,FALSE))</f>
        <v xml:space="preserve">Mainly Rural (rural including hub towns &gt;=80%) </v>
      </c>
      <c r="Y164" s="49">
        <f t="shared" si="55"/>
        <v>564.9</v>
      </c>
      <c r="Z164" s="57">
        <f>IF(Y164="","",IF(I$8="A",(RANK(Y164,Y$11:Y$355,1)+COUNTIF(Y$11:Y164,Y164)-1),(RANK(Y164,Y$11:Y$355)+COUNTIF(Y$11:Y164,Y164)-1)))</f>
        <v>36</v>
      </c>
      <c r="AA164" s="242" t="str">
        <f>IF(L164="","",VLOOKUP($L164,classifications!C:I,7,FALSE))</f>
        <v>Predominantly Rural</v>
      </c>
      <c r="AB164" s="236">
        <f t="shared" si="64"/>
        <v>564.9</v>
      </c>
      <c r="AC164" s="236">
        <f>IF(AB164="","",IF($I$8="A",(RANK(AB164,AB$11:AB$355)+COUNTIF(AB$11:AB164,AB164)-1),(RANK(AB164,AB$11:AB$355,1)+COUNTIF(AB$11:AB164,AB164)-1)))</f>
        <v>8</v>
      </c>
      <c r="AD164" s="236"/>
      <c r="AE164" s="51" t="str">
        <f t="shared" si="71"/>
        <v/>
      </c>
      <c r="AG164" s="143"/>
      <c r="AH164" s="52"/>
      <c r="AI164" s="61" t="str">
        <f>IF(L164="","",VLOOKUP($L164,classifications!$C:$J,8,FALSE))</f>
        <v>Warwickshire</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West Midlands</v>
      </c>
      <c r="AQ164" s="62" t="str">
        <f t="shared" si="66"/>
        <v/>
      </c>
      <c r="AR164" s="57" t="str">
        <f>IF(AQ164="","",IF(I$8="A",(RANK(AQ164,AQ$11:AQ$355,1)+COUNTIF(AQ$11:AQ164,AQ164)-1),(RANK(AQ164,AQ$11:AQ$355)+COUNTIF(AQ$11:AQ164,AQ164)-1)))</f>
        <v/>
      </c>
      <c r="AS164" s="52" t="str">
        <f t="shared" si="67"/>
        <v/>
      </c>
      <c r="AT164" s="57" t="str">
        <f t="shared" si="59"/>
        <v/>
      </c>
      <c r="AU164" s="62" t="str">
        <f t="shared" si="60"/>
        <v/>
      </c>
      <c r="AX164" s="44">
        <f>HLOOKUP($AX$9&amp;$AX$10,Data!$A$1:$ZZ$2000,(MATCH($C164,Data!$A$1:$A$2000,0)),FALSE)</f>
        <v>669.1</v>
      </c>
      <c r="AY164" s="156"/>
      <c r="AZ164" s="44"/>
    </row>
    <row r="165" spans="1:52">
      <c r="A165" s="84" t="str">
        <f>$D$1&amp;155</f>
        <v>SD155</v>
      </c>
      <c r="B165" s="85">
        <f>IF(ISERROR(VLOOKUP(A165,classifications!A:C,3,FALSE)),0,VLOOKUP(A165,classifications!A:C,3,FALSE))</f>
        <v>0</v>
      </c>
      <c r="C165" s="31" t="s">
        <v>233</v>
      </c>
      <c r="D165" s="49" t="str">
        <f>VLOOKUP($C165,classifications!$C:$J,4,FALSE)</f>
        <v>MD</v>
      </c>
      <c r="E165" s="49">
        <f>VLOOKUP(C165,classifications!C:K,9,FALSE)</f>
        <v>0</v>
      </c>
      <c r="F165" s="59">
        <f t="shared" si="49"/>
        <v>669.1</v>
      </c>
      <c r="G165" s="105"/>
      <c r="H165" s="60" t="str">
        <f t="shared" si="50"/>
        <v/>
      </c>
      <c r="I165" s="112" t="str">
        <f>IF(H165="","",IF($I$8="A",(RANK(H165,H$11:H$355,1)+COUNTIF(H$11:H165,H165)-1),(RANK(H165,H$11:H$355)+COUNTIF(H$11:H165,H165)-1)))</f>
        <v/>
      </c>
      <c r="J165" s="58"/>
      <c r="K165" s="51">
        <f t="shared" si="61"/>
        <v>155</v>
      </c>
      <c r="L165" s="59" t="str">
        <f t="shared" si="51"/>
        <v>West Lindsey</v>
      </c>
      <c r="M165" s="153">
        <f t="shared" si="52"/>
        <v>565.20000000000005</v>
      </c>
      <c r="N165" s="148">
        <f t="shared" si="62"/>
        <v>565.20000000000005</v>
      </c>
      <c r="O165" s="131" t="str">
        <f t="shared" si="53"/>
        <v/>
      </c>
      <c r="P165" s="131" t="str">
        <f t="shared" si="68"/>
        <v/>
      </c>
      <c r="Q165" s="131" t="str">
        <f t="shared" si="69"/>
        <v/>
      </c>
      <c r="R165" s="127">
        <f t="shared" si="70"/>
        <v>565.20000000000005</v>
      </c>
      <c r="S165" s="60" t="str">
        <f t="shared" si="63"/>
        <v/>
      </c>
      <c r="T165" s="228" t="str">
        <f>IF(L165="","",VLOOKUP(L165,classifications!C:K,9,FALSE))</f>
        <v>Sparse</v>
      </c>
      <c r="U165" s="235">
        <f t="shared" si="54"/>
        <v>565.20000000000005</v>
      </c>
      <c r="V165" s="236">
        <f>IF(U165="","",IF($I$8="A",(RANK(U165,U$11:U$355)+COUNTIF(U$11:U165,U165)-1),(RANK(U165,U$11:U$355,1)+COUNTIF(U$11:U165,U165)-1)))</f>
        <v>5</v>
      </c>
      <c r="W165" s="237"/>
      <c r="X165" s="61" t="str">
        <f>IF(L165="","",VLOOKUP($L165,classifications!$C:$J,6,FALSE))</f>
        <v xml:space="preserve">Mainly Rural (rural including hub towns &gt;=80%) </v>
      </c>
      <c r="Y165" s="49">
        <f t="shared" si="55"/>
        <v>565.20000000000005</v>
      </c>
      <c r="Z165" s="57">
        <f>IF(Y165="","",IF(I$8="A",(RANK(Y165,Y$11:Y$355,1)+COUNTIF(Y$11:Y165,Y165)-1),(RANK(Y165,Y$11:Y$355)+COUNTIF(Y$11:Y165,Y165)-1)))</f>
        <v>37</v>
      </c>
      <c r="AA165" s="242" t="str">
        <f>IF(L165="","",VLOOKUP($L165,classifications!C:I,7,FALSE))</f>
        <v>Predominantly Rural</v>
      </c>
      <c r="AB165" s="236">
        <f t="shared" si="64"/>
        <v>565.20000000000005</v>
      </c>
      <c r="AC165" s="236">
        <f>IF(AB165="","",IF($I$8="A",(RANK(AB165,AB$11:AB$355)+COUNTIF(AB$11:AB165,AB165)-1),(RANK(AB165,AB$11:AB$355,1)+COUNTIF(AB$11:AB165,AB165)-1)))</f>
        <v>7</v>
      </c>
      <c r="AD165" s="236"/>
      <c r="AE165" s="51" t="str">
        <f t="shared" si="71"/>
        <v/>
      </c>
      <c r="AG165" s="143"/>
      <c r="AH165" s="52"/>
      <c r="AI165" s="61" t="str">
        <f>IF(L165="","",VLOOKUP($L165,classifications!$C:$J,8,FALSE))</f>
        <v>Lincolnshire</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East Midlands</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f>HLOOKUP($AX$9&amp;$AX$10,Data!$A$1:$ZZ$2000,(MATCH($C165,Data!$A$1:$A$2000,0)),FALSE)</f>
        <v>669.1</v>
      </c>
      <c r="AY165" s="156"/>
      <c r="AZ165" s="44"/>
    </row>
    <row r="166" spans="1:52">
      <c r="A166" s="84" t="str">
        <f>$D$1&amp;156</f>
        <v>SD156</v>
      </c>
      <c r="B166" s="85">
        <f>IF(ISERROR(VLOOKUP(A166,classifications!A:C,3,FALSE)),0,VLOOKUP(A166,classifications!A:C,3,FALSE))</f>
        <v>0</v>
      </c>
      <c r="C166" s="31" t="s">
        <v>212</v>
      </c>
      <c r="D166" s="49" t="str">
        <f>VLOOKUP($C166,classifications!$C:$J,4,FALSE)</f>
        <v>L</v>
      </c>
      <c r="E166" s="49">
        <f>VLOOKUP(C166,classifications!C:K,9,FALSE)</f>
        <v>0</v>
      </c>
      <c r="F166" s="59">
        <f t="shared" si="49"/>
        <v>333.2</v>
      </c>
      <c r="G166" s="105"/>
      <c r="H166" s="60" t="str">
        <f t="shared" si="50"/>
        <v/>
      </c>
      <c r="I166" s="112" t="str">
        <f>IF(H166="","",IF($I$8="A",(RANK(H166,H$11:H$355,1)+COUNTIF(H$11:H166,H166)-1),(RANK(H166,H$11:H$355)+COUNTIF(H$11:H166,H166)-1)))</f>
        <v/>
      </c>
      <c r="J166" s="58"/>
      <c r="K166" s="51">
        <f t="shared" si="61"/>
        <v>156</v>
      </c>
      <c r="L166" s="59" t="str">
        <f t="shared" si="51"/>
        <v>Wyre Forest</v>
      </c>
      <c r="M166" s="153">
        <f t="shared" si="52"/>
        <v>565.29999999999995</v>
      </c>
      <c r="N166" s="148">
        <f t="shared" si="62"/>
        <v>565.29999999999995</v>
      </c>
      <c r="O166" s="131" t="str">
        <f t="shared" si="53"/>
        <v/>
      </c>
      <c r="P166" s="131" t="str">
        <f t="shared" si="68"/>
        <v/>
      </c>
      <c r="Q166" s="131" t="str">
        <f t="shared" si="69"/>
        <v/>
      </c>
      <c r="R166" s="127">
        <f t="shared" si="70"/>
        <v>565.29999999999995</v>
      </c>
      <c r="S166" s="60" t="str">
        <f t="shared" si="63"/>
        <v/>
      </c>
      <c r="T166" s="228">
        <f>IF(L166="","",VLOOKUP(L166,classifications!C:K,9,FALSE))</f>
        <v>0</v>
      </c>
      <c r="U166" s="235" t="str">
        <f t="shared" si="54"/>
        <v/>
      </c>
      <c r="V166" s="236" t="str">
        <f>IF(U166="","",IF($I$8="A",(RANK(U166,U$11:U$355)+COUNTIF(U$11:U166,U166)-1),(RANK(U166,U$11:U$355,1)+COUNTIF(U$11:U166,U166)-1)))</f>
        <v/>
      </c>
      <c r="W166" s="237"/>
      <c r="X166" s="61" t="str">
        <f>IF(L166="","",VLOOKUP($L166,classifications!$C:$J,6,FALSE))</f>
        <v>Urban with Significant Rural (rural including hub towns 26-49%)</v>
      </c>
      <c r="Y166" s="49" t="str">
        <f t="shared" si="55"/>
        <v/>
      </c>
      <c r="Z166" s="57" t="str">
        <f>IF(Y166="","",IF(I$8="A",(RANK(Y166,Y$11:Y$355,1)+COUNTIF(Y$11:Y166,Y166)-1),(RANK(Y166,Y$11:Y$355)+COUNTIF(Y$11:Y166,Y166)-1)))</f>
        <v/>
      </c>
      <c r="AA166" s="242" t="str">
        <f>IF(L166="","",VLOOKUP($L166,classifications!C:I,7,FALSE))</f>
        <v>Significant Rural</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Worcestershire</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West Midlands</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f>HLOOKUP($AX$9&amp;$AX$10,Data!$A$1:$ZZ$2000,(MATCH($C166,Data!$A$1:$A$2000,0)),FALSE)</f>
        <v>333.2</v>
      </c>
      <c r="AY166" s="156"/>
      <c r="AZ166" s="44"/>
    </row>
    <row r="167" spans="1:52">
      <c r="A167" s="84" t="str">
        <f>$D$1&amp;157</f>
        <v>SD157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548.4</v>
      </c>
      <c r="G167" s="105"/>
      <c r="H167" s="60" t="str">
        <f t="shared" si="50"/>
        <v/>
      </c>
      <c r="I167" s="112" t="str">
        <f>IF(H167="","",IF($I$8="A",(RANK(H167,H$11:H$355,1)+COUNTIF(H$11:H167,H167)-1),(RANK(H167,H$11:H$355)+COUNTIF(H$11:H167,H167)-1)))</f>
        <v/>
      </c>
      <c r="J167" s="58"/>
      <c r="K167" s="51">
        <f t="shared" si="61"/>
        <v>157</v>
      </c>
      <c r="L167" s="59" t="str">
        <f t="shared" si="51"/>
        <v>Ashfield</v>
      </c>
      <c r="M167" s="153">
        <f t="shared" si="52"/>
        <v>571.6</v>
      </c>
      <c r="N167" s="148">
        <f t="shared" si="62"/>
        <v>571.6</v>
      </c>
      <c r="O167" s="131" t="str">
        <f t="shared" si="53"/>
        <v/>
      </c>
      <c r="P167" s="131" t="str">
        <f t="shared" si="68"/>
        <v/>
      </c>
      <c r="Q167" s="131" t="str">
        <f t="shared" si="69"/>
        <v/>
      </c>
      <c r="R167" s="127">
        <f t="shared" si="70"/>
        <v>571.6</v>
      </c>
      <c r="S167" s="60" t="str">
        <f t="shared" si="63"/>
        <v/>
      </c>
      <c r="T167" s="228">
        <f>IF(L167="","",VLOOKUP(L167,classifications!C:K,9,FALSE))</f>
        <v>0</v>
      </c>
      <c r="U167" s="235" t="str">
        <f t="shared" si="54"/>
        <v/>
      </c>
      <c r="V167" s="236" t="str">
        <f>IF(U167="","",IF($I$8="A",(RANK(U167,U$11:U$355)+COUNTIF(U$11:U167,U167)-1),(RANK(U167,U$11:U$355,1)+COUNTIF(U$11:U167,U167)-1)))</f>
        <v/>
      </c>
      <c r="W167" s="237"/>
      <c r="X167" s="61" t="str">
        <f>IF(L167="","",VLOOKUP($L167,classifications!$C:$J,6,FALSE))</f>
        <v>Urban with City and Town</v>
      </c>
      <c r="Y167" s="49" t="str">
        <f t="shared" si="55"/>
        <v/>
      </c>
      <c r="Z167" s="57" t="str">
        <f>IF(Y167="","",IF(I$8="A",(RANK(Y167,Y$11:Y$355,1)+COUNTIF(Y$11:Y167,Y167)-1),(RANK(Y167,Y$11:Y$355)+COUNTIF(Y$11:Y167,Y167)-1)))</f>
        <v/>
      </c>
      <c r="AA167" s="242" t="str">
        <f>IF(L167="","",VLOOKUP($L167,classifications!C:I,7,FALSE))</f>
        <v>Predominantly Urban</v>
      </c>
      <c r="AB167" s="236" t="str">
        <f t="shared" si="64"/>
        <v/>
      </c>
      <c r="AC167" s="236" t="str">
        <f>IF(AB167="","",IF($I$8="A",(RANK(AB167,AB$11:AB$355)+COUNTIF(AB$11:AB167,AB167)-1),(RANK(AB167,AB$11:AB$355,1)+COUNTIF(AB$11:AB167,AB167)-1)))</f>
        <v/>
      </c>
      <c r="AD167" s="236"/>
      <c r="AE167" s="51" t="str">
        <f t="shared" si="71"/>
        <v/>
      </c>
      <c r="AG167" s="143"/>
      <c r="AH167" s="52"/>
      <c r="AI167" s="61" t="str">
        <f>IF(L167="","",VLOOKUP($L167,classifications!$C:$J,8,FALSE))</f>
        <v>Nottinghamshire</v>
      </c>
      <c r="AJ167" s="62" t="str">
        <f t="shared" si="56"/>
        <v/>
      </c>
      <c r="AK167" s="57" t="str">
        <f>IF(AJ167="","",IF(I$8="A",(RANK(AJ167,AJ$11:AJ$355,1)+COUNTIF(AJ$11:AJ167,AJ167)-1),(RANK(AJ167,AJ$11:AJ$355)+COUNTIF(AJ$11:AJ167,AJ167)-1)))</f>
        <v/>
      </c>
      <c r="AL167" s="52" t="str">
        <f t="shared" si="65"/>
        <v/>
      </c>
      <c r="AM167" s="31" t="str">
        <f t="shared" si="57"/>
        <v/>
      </c>
      <c r="AN167" s="31" t="str">
        <f t="shared" si="58"/>
        <v/>
      </c>
      <c r="AP167" s="61" t="str">
        <f>IF(L167="","",VLOOKUP($L167,classifications!$C:$E,3,FALSE))</f>
        <v>East Midlands</v>
      </c>
      <c r="AQ167" s="62" t="str">
        <f t="shared" si="66"/>
        <v/>
      </c>
      <c r="AR167" s="57" t="str">
        <f>IF(AQ167="","",IF(I$8="A",(RANK(AQ167,AQ$11:AQ$355,1)+COUNTIF(AQ$11:AQ167,AQ167)-1),(RANK(AQ167,AQ$11:AQ$355)+COUNTIF(AQ$11:AQ167,AQ167)-1)))</f>
        <v/>
      </c>
      <c r="AS167" s="52" t="str">
        <f t="shared" si="67"/>
        <v/>
      </c>
      <c r="AT167" s="57" t="str">
        <f t="shared" si="59"/>
        <v/>
      </c>
      <c r="AU167" s="62" t="str">
        <f t="shared" si="60"/>
        <v/>
      </c>
      <c r="AX167" s="44">
        <f>HLOOKUP($AX$9&amp;$AX$10,Data!$A$1:$ZZ$2000,(MATCH($C167,Data!$A$1:$A$2000,0)),FALSE)</f>
        <v>548.4</v>
      </c>
      <c r="AY167" s="156"/>
      <c r="AZ167" s="44"/>
    </row>
    <row r="168" spans="1:52">
      <c r="A168" s="84" t="str">
        <f>$D$1&amp;158</f>
        <v>SD158</v>
      </c>
      <c r="B168" s="85">
        <f>IF(ISERROR(VLOOKUP(A168,classifications!A:C,3,FALSE)),0,VLOOKUP(A168,classifications!A:C,3,FALSE))</f>
        <v>0</v>
      </c>
      <c r="C168" s="31" t="s">
        <v>92</v>
      </c>
      <c r="D168" s="49" t="str">
        <f>VLOOKUP($C168,classifications!$C:$J,4,FALSE)</f>
        <v>SD</v>
      </c>
      <c r="E168" s="49">
        <f>VLOOKUP(C168,classifications!C:K,9,FALSE)</f>
        <v>0</v>
      </c>
      <c r="F168" s="59">
        <f t="shared" si="49"/>
        <v>490.9</v>
      </c>
      <c r="G168" s="105"/>
      <c r="H168" s="60">
        <f t="shared" si="50"/>
        <v>490.9</v>
      </c>
      <c r="I168" s="112">
        <f>IF(H168="","",IF($I$8="A",(RANK(H168,H$11:H$355,1)+COUNTIF(H$11:H168,H168)-1),(RANK(H168,H$11:H$355)+COUNTIF(H$11:H168,H168)-1)))</f>
        <v>91</v>
      </c>
      <c r="J168" s="58"/>
      <c r="K168" s="51">
        <f t="shared" si="61"/>
        <v>158</v>
      </c>
      <c r="L168" s="59" t="str">
        <f t="shared" si="51"/>
        <v>Basingstoke &amp; Deane</v>
      </c>
      <c r="M168" s="153">
        <f t="shared" si="52"/>
        <v>573.29999999999995</v>
      </c>
      <c r="N168" s="148">
        <f t="shared" si="62"/>
        <v>573.29999999999995</v>
      </c>
      <c r="O168" s="131" t="str">
        <f t="shared" si="53"/>
        <v/>
      </c>
      <c r="P168" s="131" t="str">
        <f t="shared" si="68"/>
        <v/>
      </c>
      <c r="Q168" s="131" t="str">
        <f t="shared" si="69"/>
        <v/>
      </c>
      <c r="R168" s="127">
        <f t="shared" si="70"/>
        <v>573.29999999999995</v>
      </c>
      <c r="S168" s="60" t="str">
        <f t="shared" si="63"/>
        <v/>
      </c>
      <c r="T168" s="228">
        <f>IF(L168="","",VLOOKUP(L168,classifications!C:K,9,FALSE))</f>
        <v>0</v>
      </c>
      <c r="U168" s="235" t="str">
        <f t="shared" si="54"/>
        <v/>
      </c>
      <c r="V168" s="236" t="str">
        <f>IF(U168="","",IF($I$8="A",(RANK(U168,U$11:U$355)+COUNTIF(U$11:U168,U168)-1),(RANK(U168,U$11:U$355,1)+COUNTIF(U$11:U168,U168)-1)))</f>
        <v/>
      </c>
      <c r="W168" s="237"/>
      <c r="X168" s="61" t="str">
        <f>IF(L168="","",VLOOKUP($L168,classifications!$C:$J,6,FALSE))</f>
        <v>Urban with Significant Rural (rural including hub towns 26-49%)</v>
      </c>
      <c r="Y168" s="49" t="str">
        <f t="shared" si="55"/>
        <v/>
      </c>
      <c r="Z168" s="57" t="str">
        <f>IF(Y168="","",IF(I$8="A",(RANK(Y168,Y$11:Y$355,1)+COUNTIF(Y$11:Y168,Y168)-1),(RANK(Y168,Y$11:Y$355)+COUNTIF(Y$11:Y168,Y168)-1)))</f>
        <v/>
      </c>
      <c r="AA168" s="242" t="str">
        <f>IF(L168="","",VLOOKUP($L168,classifications!C:I,7,FALSE))</f>
        <v>Significant Rural</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Hampshire</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South East</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f>HLOOKUP($AX$9&amp;$AX$10,Data!$A$1:$ZZ$2000,(MATCH($C168,Data!$A$1:$A$2000,0)),FALSE)</f>
        <v>490.9</v>
      </c>
      <c r="AY168" s="156"/>
      <c r="AZ168" s="44"/>
    </row>
    <row r="169" spans="1:52">
      <c r="A169" s="84" t="str">
        <f>$D$1&amp;159</f>
        <v>SD159</v>
      </c>
      <c r="B169" s="85">
        <f>IF(ISERROR(VLOOKUP(A169,classifications!A:C,3,FALSE)),0,VLOOKUP(A169,classifications!A:C,3,FALSE))</f>
        <v>0</v>
      </c>
      <c r="C169" s="31" t="s">
        <v>234</v>
      </c>
      <c r="D169" s="49" t="str">
        <f>VLOOKUP($C169,classifications!$C:$J,4,FALSE)</f>
        <v>MD</v>
      </c>
      <c r="E169" s="49">
        <f>VLOOKUP(C169,classifications!C:K,9,FALSE)</f>
        <v>0</v>
      </c>
      <c r="F169" s="59">
        <f t="shared" si="49"/>
        <v>566.29999999999995</v>
      </c>
      <c r="G169" s="105"/>
      <c r="H169" s="60" t="str">
        <f t="shared" si="50"/>
        <v/>
      </c>
      <c r="I169" s="112" t="str">
        <f>IF(H169="","",IF($I$8="A",(RANK(H169,H$11:H$355,1)+COUNTIF(H$11:H169,H169)-1),(RANK(H169,H$11:H$355)+COUNTIF(H$11:H169,H169)-1)))</f>
        <v/>
      </c>
      <c r="J169" s="58"/>
      <c r="K169" s="51">
        <f t="shared" si="61"/>
        <v>159</v>
      </c>
      <c r="L169" s="59" t="str">
        <f t="shared" si="51"/>
        <v>Basildon</v>
      </c>
      <c r="M169" s="153">
        <f t="shared" si="52"/>
        <v>574.6</v>
      </c>
      <c r="N169" s="148">
        <f t="shared" si="62"/>
        <v>574.6</v>
      </c>
      <c r="O169" s="131" t="str">
        <f t="shared" si="53"/>
        <v/>
      </c>
      <c r="P169" s="131" t="str">
        <f t="shared" si="68"/>
        <v/>
      </c>
      <c r="Q169" s="131" t="str">
        <f t="shared" si="69"/>
        <v/>
      </c>
      <c r="R169" s="127">
        <f t="shared" si="70"/>
        <v>574.6</v>
      </c>
      <c r="S169" s="60" t="str">
        <f t="shared" si="63"/>
        <v/>
      </c>
      <c r="T169" s="228">
        <f>IF(L169="","",VLOOKUP(L169,classifications!C:K,9,FALSE))</f>
        <v>0</v>
      </c>
      <c r="U169" s="235" t="str">
        <f t="shared" si="54"/>
        <v/>
      </c>
      <c r="V169" s="236" t="str">
        <f>IF(U169="","",IF($I$8="A",(RANK(U169,U$11:U$355)+COUNTIF(U$11:U169,U169)-1),(RANK(U169,U$11:U$355,1)+COUNTIF(U$11:U169,U169)-1)))</f>
        <v/>
      </c>
      <c r="W169" s="237"/>
      <c r="X169" s="61" t="str">
        <f>IF(L169="","",VLOOKUP($L169,classifications!$C:$J,6,FALSE))</f>
        <v>Urban with City and Town</v>
      </c>
      <c r="Y169" s="49" t="str">
        <f t="shared" si="55"/>
        <v/>
      </c>
      <c r="Z169" s="57" t="str">
        <f>IF(Y169="","",IF(I$8="A",(RANK(Y169,Y$11:Y$355,1)+COUNTIF(Y$11:Y169,Y169)-1),(RANK(Y169,Y$11:Y$355)+COUNTIF(Y$11:Y169,Y169)-1)))</f>
        <v/>
      </c>
      <c r="AA169" s="242" t="str">
        <f>IF(L169="","",VLOOKUP($L169,classifications!C:I,7,FALSE))</f>
        <v>Predominantly Urban</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Essex</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East of England</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566.29999999999995</v>
      </c>
      <c r="AY169" s="156"/>
      <c r="AZ169" s="44"/>
    </row>
    <row r="170" spans="1:52">
      <c r="A170" s="84" t="str">
        <f>$D$1&amp;160</f>
        <v>SD160</v>
      </c>
      <c r="B170" s="85">
        <f>IF(ISERROR(VLOOKUP(A170,classifications!A:C,3,FALSE)),0,VLOOKUP(A170,classifications!A:C,3,FALSE))</f>
        <v>0</v>
      </c>
      <c r="C170" s="31" t="s">
        <v>271</v>
      </c>
      <c r="D170" s="49" t="str">
        <f>VLOOKUP($C170,classifications!$C:$J,4,FALSE)</f>
        <v>UA</v>
      </c>
      <c r="E170" s="49">
        <f>VLOOKUP(C170,classifications!C:K,9,FALSE)</f>
        <v>0</v>
      </c>
      <c r="F170" s="59">
        <f t="shared" si="49"/>
        <v>599.29999999999995</v>
      </c>
      <c r="G170" s="105"/>
      <c r="H170" s="60" t="str">
        <f t="shared" si="50"/>
        <v/>
      </c>
      <c r="I170" s="112" t="str">
        <f>IF(H170="","",IF($I$8="A",(RANK(H170,H$11:H$355,1)+COUNTIF(H$11:H170,H170)-1),(RANK(H170,H$11:H$355)+COUNTIF(H$11:H170,H170)-1)))</f>
        <v/>
      </c>
      <c r="J170" s="58"/>
      <c r="K170" s="51">
        <f t="shared" si="61"/>
        <v>160</v>
      </c>
      <c r="L170" s="59" t="str">
        <f t="shared" si="51"/>
        <v>Selby</v>
      </c>
      <c r="M170" s="153">
        <f t="shared" si="52"/>
        <v>575</v>
      </c>
      <c r="N170" s="148">
        <f t="shared" si="62"/>
        <v>575</v>
      </c>
      <c r="O170" s="131" t="str">
        <f t="shared" si="53"/>
        <v/>
      </c>
      <c r="P170" s="131" t="str">
        <f t="shared" si="68"/>
        <v/>
      </c>
      <c r="Q170" s="131" t="str">
        <f t="shared" si="69"/>
        <v/>
      </c>
      <c r="R170" s="127">
        <f t="shared" si="70"/>
        <v>575</v>
      </c>
      <c r="S170" s="60" t="str">
        <f t="shared" si="63"/>
        <v/>
      </c>
      <c r="T170" s="228" t="str">
        <f>IF(L170="","",VLOOKUP(L170,classifications!C:K,9,FALSE))</f>
        <v>Sparse</v>
      </c>
      <c r="U170" s="235">
        <f t="shared" si="54"/>
        <v>575</v>
      </c>
      <c r="V170" s="236">
        <f>IF(U170="","",IF($I$8="A",(RANK(U170,U$11:U$355)+COUNTIF(U$11:U170,U170)-1),(RANK(U170,U$11:U$355,1)+COUNTIF(U$11:U170,U170)-1)))</f>
        <v>4</v>
      </c>
      <c r="W170" s="237"/>
      <c r="X170" s="61" t="str">
        <f>IF(L170="","",VLOOKUP($L170,classifications!$C:$J,6,FALSE))</f>
        <v xml:space="preserve">Mainly Rural (rural including hub towns &gt;=80%) </v>
      </c>
      <c r="Y170" s="49">
        <f t="shared" si="55"/>
        <v>575</v>
      </c>
      <c r="Z170" s="57">
        <f>IF(Y170="","",IF(I$8="A",(RANK(Y170,Y$11:Y$355,1)+COUNTIF(Y$11:Y170,Y170)-1),(RANK(Y170,Y$11:Y$355)+COUNTIF(Y$11:Y170,Y170)-1)))</f>
        <v>38</v>
      </c>
      <c r="AA170" s="242" t="str">
        <f>IF(L170="","",VLOOKUP($L170,classifications!C:I,7,FALSE))</f>
        <v>Predominantly Rural</v>
      </c>
      <c r="AB170" s="236">
        <f t="shared" si="64"/>
        <v>575</v>
      </c>
      <c r="AC170" s="236">
        <f>IF(AB170="","",IF($I$8="A",(RANK(AB170,AB$11:AB$355)+COUNTIF(AB$11:AB170,AB170)-1),(RANK(AB170,AB$11:AB$355,1)+COUNTIF(AB$11:AB170,AB170)-1)))</f>
        <v>6</v>
      </c>
      <c r="AD170" s="236"/>
      <c r="AE170" s="51" t="str">
        <f t="shared" si="71"/>
        <v/>
      </c>
      <c r="AG170" s="143"/>
      <c r="AH170" s="52"/>
      <c r="AI170" s="61" t="str">
        <f>IF(L170="","",VLOOKUP($L170,classifications!$C:$J,8,FALSE))</f>
        <v>North Yorkshire</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Yorkshire &amp; Humberside</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599.29999999999995</v>
      </c>
      <c r="AY170" s="156"/>
      <c r="AZ170" s="44"/>
    </row>
    <row r="171" spans="1:52">
      <c r="A171" s="84" t="str">
        <f>$D$1&amp;161</f>
        <v>SD161</v>
      </c>
      <c r="B171" s="85">
        <f>IF(ISERROR(VLOOKUP(A171,classifications!A:C,3,FALSE)),0,VLOOKUP(A171,classifications!A:C,3,FALSE))</f>
        <v>0</v>
      </c>
      <c r="C171" s="31" t="s">
        <v>317</v>
      </c>
      <c r="D171" s="49" t="str">
        <f>VLOOKUP($C171,classifications!$C:$J,4,FALSE)</f>
        <v>SC</v>
      </c>
      <c r="E171" s="49">
        <f>VLOOKUP(C171,classifications!C:K,9,FALSE)</f>
        <v>0</v>
      </c>
      <c r="F171" s="59">
        <f t="shared" si="49"/>
        <v>572.4</v>
      </c>
      <c r="G171" s="105"/>
      <c r="H171" s="60" t="str">
        <f t="shared" si="50"/>
        <v/>
      </c>
      <c r="I171" s="112" t="str">
        <f>IF(H171="","",IF($I$8="A",(RANK(H171,H$11:H$355,1)+COUNTIF(H$11:H171,H171)-1),(RANK(H171,H$11:H$355)+COUNTIF(H$11:H171,H171)-1)))</f>
        <v/>
      </c>
      <c r="J171" s="58"/>
      <c r="K171" s="51">
        <f t="shared" si="61"/>
        <v>161</v>
      </c>
      <c r="L171" s="59" t="str">
        <f t="shared" si="51"/>
        <v>Bromsgrove</v>
      </c>
      <c r="M171" s="153">
        <f t="shared" si="52"/>
        <v>575.5</v>
      </c>
      <c r="N171" s="148">
        <f t="shared" si="62"/>
        <v>575.5</v>
      </c>
      <c r="O171" s="131" t="str">
        <f t="shared" si="53"/>
        <v/>
      </c>
      <c r="P171" s="131" t="str">
        <f t="shared" si="68"/>
        <v/>
      </c>
      <c r="Q171" s="131" t="str">
        <f t="shared" si="69"/>
        <v/>
      </c>
      <c r="R171" s="127">
        <f t="shared" si="70"/>
        <v>575.5</v>
      </c>
      <c r="S171" s="60" t="str">
        <f t="shared" si="63"/>
        <v/>
      </c>
      <c r="T171" s="228">
        <f>IF(L171="","",VLOOKUP(L171,classifications!C:K,9,FALSE))</f>
        <v>0</v>
      </c>
      <c r="U171" s="235" t="str">
        <f t="shared" si="54"/>
        <v/>
      </c>
      <c r="V171" s="236" t="str">
        <f>IF(U171="","",IF($I$8="A",(RANK(U171,U$11:U$355)+COUNTIF(U$11:U171,U171)-1),(RANK(U171,U$11:U$355,1)+COUNTIF(U$11:U171,U171)-1)))</f>
        <v/>
      </c>
      <c r="W171" s="237"/>
      <c r="X171" s="61" t="str">
        <f>IF(L171="","",VLOOKUP($L171,classifications!$C:$J,6,FALSE))</f>
        <v>Urban with City and Town</v>
      </c>
      <c r="Y171" s="49" t="str">
        <f t="shared" si="55"/>
        <v/>
      </c>
      <c r="Z171" s="57" t="str">
        <f>IF(Y171="","",IF(I$8="A",(RANK(Y171,Y$11:Y$355,1)+COUNTIF(Y$11:Y171,Y171)-1),(RANK(Y171,Y$11:Y$355)+COUNTIF(Y$11:Y171,Y171)-1)))</f>
        <v/>
      </c>
      <c r="AA171" s="242" t="str">
        <f>IF(L171="","",VLOOKUP($L171,classifications!C:I,7,FALSE))</f>
        <v>Predominantly Urban</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Worcestershire</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West Midlands</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572.4</v>
      </c>
      <c r="AY171" s="156"/>
      <c r="AZ171" s="44"/>
    </row>
    <row r="172" spans="1:52">
      <c r="A172" s="84" t="str">
        <f>$D$1&amp;162</f>
        <v>SD162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449.3</v>
      </c>
      <c r="G172" s="105"/>
      <c r="H172" s="60">
        <f t="shared" si="50"/>
        <v>449.3</v>
      </c>
      <c r="I172" s="112">
        <f>IF(H172="","",IF($I$8="A",(RANK(H172,H$11:H$355,1)+COUNTIF(H$11:H172,H172)-1),(RANK(H172,H$11:H$355)+COUNTIF(H$11:H172,H172)-1)))</f>
        <v>58</v>
      </c>
      <c r="J172" s="58"/>
      <c r="K172" s="51">
        <f t="shared" si="61"/>
        <v>162</v>
      </c>
      <c r="L172" s="59" t="str">
        <f t="shared" si="51"/>
        <v>Amber Valley</v>
      </c>
      <c r="M172" s="153">
        <f t="shared" si="52"/>
        <v>579.70000000000005</v>
      </c>
      <c r="N172" s="148">
        <f t="shared" si="62"/>
        <v>579.70000000000005</v>
      </c>
      <c r="O172" s="131" t="str">
        <f t="shared" si="53"/>
        <v/>
      </c>
      <c r="P172" s="131" t="str">
        <f t="shared" si="68"/>
        <v/>
      </c>
      <c r="Q172" s="131" t="str">
        <f t="shared" si="69"/>
        <v/>
      </c>
      <c r="R172" s="127">
        <f t="shared" si="70"/>
        <v>579.70000000000005</v>
      </c>
      <c r="S172" s="60" t="str">
        <f t="shared" si="63"/>
        <v/>
      </c>
      <c r="T172" s="228">
        <f>IF(L172="","",VLOOKUP(L172,classifications!C:K,9,FALSE))</f>
        <v>0</v>
      </c>
      <c r="U172" s="235" t="str">
        <f t="shared" si="54"/>
        <v/>
      </c>
      <c r="V172" s="236" t="str">
        <f>IF(U172="","",IF($I$8="A",(RANK(U172,U$11:U$355)+COUNTIF(U$11:U172,U172)-1),(RANK(U172,U$11:U$355,1)+COUNTIF(U$11:U172,U172)-1)))</f>
        <v/>
      </c>
      <c r="W172" s="237"/>
      <c r="X172" s="61" t="str">
        <f>IF(L172="","",VLOOKUP($L172,classifications!$C:$J,6,FALSE))</f>
        <v>Urban with Minor Conurbation</v>
      </c>
      <c r="Y172" s="49" t="str">
        <f t="shared" si="55"/>
        <v/>
      </c>
      <c r="Z172" s="57" t="str">
        <f>IF(Y172="","",IF(I$8="A",(RANK(Y172,Y$11:Y$355,1)+COUNTIF(Y$11:Y172,Y172)-1),(RANK(Y172,Y$11:Y$355)+COUNTIF(Y$11:Y172,Y172)-1)))</f>
        <v/>
      </c>
      <c r="AA172" s="242" t="str">
        <f>IF(L172="","",VLOOKUP($L172,classifications!C:I,7,FALSE))</f>
        <v>Predominantly Urban</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Derbyshire</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East Midlands</v>
      </c>
      <c r="AQ172" s="62" t="str">
        <f t="shared" si="66"/>
        <v/>
      </c>
      <c r="AR172" s="57" t="str">
        <f>IF(AQ172="","",IF(I$8="A",(RANK(AQ172,AQ$11:AQ$355,1)+COUNTIF(AQ$11:AQ172,AQ172)-1),(RANK(AQ172,AQ$11:AQ$355)+COUNTIF(AQ$11:AQ172,AQ172)-1)))</f>
        <v/>
      </c>
      <c r="AS172" s="52" t="str">
        <f t="shared" si="67"/>
        <v/>
      </c>
      <c r="AT172" s="57" t="str">
        <f t="shared" si="59"/>
        <v/>
      </c>
      <c r="AU172" s="62" t="str">
        <f t="shared" si="60"/>
        <v/>
      </c>
      <c r="AX172" s="44">
        <f>HLOOKUP($AX$9&amp;$AX$10,Data!$A$1:$ZZ$2000,(MATCH($C172,Data!$A$1:$A$2000,0)),FALSE)</f>
        <v>449.3</v>
      </c>
      <c r="AY172" s="156"/>
      <c r="AZ172" s="44"/>
    </row>
    <row r="173" spans="1:52">
      <c r="A173" s="84" t="str">
        <f>$D$1&amp;163</f>
        <v>SD163</v>
      </c>
      <c r="B173" s="85">
        <f>IF(ISERROR(VLOOKUP(A173,classifications!A:C,3,FALSE)),0,VLOOKUP(A173,classifications!A:C,3,FALSE))</f>
        <v>0</v>
      </c>
      <c r="C173" s="31" t="s">
        <v>213</v>
      </c>
      <c r="D173" s="49" t="str">
        <f>VLOOKUP($C173,classifications!$C:$J,4,FALSE)</f>
        <v>L</v>
      </c>
      <c r="E173" s="49">
        <f>VLOOKUP(C173,classifications!C:K,9,FALSE)</f>
        <v>0</v>
      </c>
      <c r="F173" s="59">
        <f t="shared" si="49"/>
        <v>544.29999999999995</v>
      </c>
      <c r="G173" s="105"/>
      <c r="H173" s="60" t="str">
        <f t="shared" si="50"/>
        <v/>
      </c>
      <c r="I173" s="112" t="str">
        <f>IF(H173="","",IF($I$8="A",(RANK(H173,H$11:H$355,1)+COUNTIF(H$11:H173,H173)-1),(RANK(H173,H$11:H$355)+COUNTIF(H$11:H173,H173)-1)))</f>
        <v/>
      </c>
      <c r="J173" s="58"/>
      <c r="K173" s="51">
        <f t="shared" si="61"/>
        <v>163</v>
      </c>
      <c r="L173" s="59" t="str">
        <f t="shared" si="51"/>
        <v>Chelmsford</v>
      </c>
      <c r="M173" s="153">
        <f t="shared" si="52"/>
        <v>587.9</v>
      </c>
      <c r="N173" s="148">
        <f t="shared" si="62"/>
        <v>587.9</v>
      </c>
      <c r="O173" s="131" t="str">
        <f t="shared" si="53"/>
        <v/>
      </c>
      <c r="P173" s="131" t="str">
        <f t="shared" si="68"/>
        <v/>
      </c>
      <c r="Q173" s="131" t="str">
        <f t="shared" si="69"/>
        <v/>
      </c>
      <c r="R173" s="127">
        <f t="shared" si="70"/>
        <v>587.9</v>
      </c>
      <c r="S173" s="60" t="str">
        <f t="shared" si="63"/>
        <v/>
      </c>
      <c r="T173" s="228">
        <f>IF(L173="","",VLOOKUP(L173,classifications!C:K,9,FALSE))</f>
        <v>0</v>
      </c>
      <c r="U173" s="235" t="str">
        <f t="shared" si="54"/>
        <v/>
      </c>
      <c r="V173" s="236" t="str">
        <f>IF(U173="","",IF($I$8="A",(RANK(U173,U$11:U$355)+COUNTIF(U$11:U173,U173)-1),(RANK(U173,U$11:U$355,1)+COUNTIF(U$11:U173,U173)-1)))</f>
        <v/>
      </c>
      <c r="W173" s="237"/>
      <c r="X173" s="61" t="str">
        <f>IF(L173="","",VLOOKUP($L173,classifications!$C:$J,6,FALSE))</f>
        <v>Urban with City and Town</v>
      </c>
      <c r="Y173" s="49" t="str">
        <f t="shared" si="55"/>
        <v/>
      </c>
      <c r="Z173" s="57" t="str">
        <f>IF(Y173="","",IF(I$8="A",(RANK(Y173,Y$11:Y$355,1)+COUNTIF(Y$11:Y173,Y173)-1),(RANK(Y173,Y$11:Y$355)+COUNTIF(Y$11:Y173,Y173)-1)))</f>
        <v/>
      </c>
      <c r="AA173" s="242" t="str">
        <f>IF(L173="","",VLOOKUP($L173,classifications!C:I,7,FALSE))</f>
        <v>Predominantly Urban</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Essex</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East of England</v>
      </c>
      <c r="AQ173" s="62" t="str">
        <f t="shared" si="66"/>
        <v/>
      </c>
      <c r="AR173" s="57" t="str">
        <f>IF(AQ173="","",IF(I$8="A",(RANK(AQ173,AQ$11:AQ$355,1)+COUNTIF(AQ$11:AQ173,AQ173)-1),(RANK(AQ173,AQ$11:AQ$355)+COUNTIF(AQ$11:AQ173,AQ173)-1)))</f>
        <v/>
      </c>
      <c r="AS173" s="52" t="str">
        <f t="shared" si="67"/>
        <v/>
      </c>
      <c r="AT173" s="57" t="str">
        <f t="shared" si="59"/>
        <v/>
      </c>
      <c r="AU173" s="62" t="str">
        <f t="shared" si="60"/>
        <v/>
      </c>
      <c r="AX173" s="44">
        <f>HLOOKUP($AX$9&amp;$AX$10,Data!$A$1:$ZZ$2000,(MATCH($C173,Data!$A$1:$A$2000,0)),FALSE)</f>
        <v>544.29999999999995</v>
      </c>
      <c r="AY173" s="156"/>
      <c r="AZ173" s="44"/>
    </row>
    <row r="174" spans="1:52">
      <c r="A174" s="84" t="str">
        <f>$D$1&amp;164</f>
        <v>SD164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528.70000000000005</v>
      </c>
      <c r="G174" s="105"/>
      <c r="H174" s="60">
        <f t="shared" si="50"/>
        <v>528.70000000000005</v>
      </c>
      <c r="I174" s="112">
        <f>IF(H174="","",IF($I$8="A",(RANK(H174,H$11:H$355,1)+COUNTIF(H$11:H174,H174)-1),(RANK(H174,H$11:H$355)+COUNTIF(H$11:H174,H174)-1)))</f>
        <v>128</v>
      </c>
      <c r="J174" s="58"/>
      <c r="K174" s="51">
        <f t="shared" si="61"/>
        <v>164</v>
      </c>
      <c r="L174" s="59" t="str">
        <f t="shared" si="51"/>
        <v>Tamworth</v>
      </c>
      <c r="M174" s="153">
        <f t="shared" si="52"/>
        <v>588.1</v>
      </c>
      <c r="N174" s="148">
        <f t="shared" si="62"/>
        <v>588.1</v>
      </c>
      <c r="O174" s="131" t="str">
        <f t="shared" si="53"/>
        <v/>
      </c>
      <c r="P174" s="131" t="str">
        <f t="shared" si="68"/>
        <v/>
      </c>
      <c r="Q174" s="131" t="str">
        <f t="shared" si="69"/>
        <v/>
      </c>
      <c r="R174" s="127">
        <f t="shared" si="70"/>
        <v>588.1</v>
      </c>
      <c r="S174" s="60" t="str">
        <f t="shared" si="63"/>
        <v/>
      </c>
      <c r="T174" s="228">
        <f>IF(L174="","",VLOOKUP(L174,classifications!C:K,9,FALSE))</f>
        <v>0</v>
      </c>
      <c r="U174" s="235" t="str">
        <f t="shared" si="54"/>
        <v/>
      </c>
      <c r="V174" s="236" t="str">
        <f>IF(U174="","",IF($I$8="A",(RANK(U174,U$11:U$355)+COUNTIF(U$11:U174,U174)-1),(RANK(U174,U$11:U$355,1)+COUNTIF(U$11:U174,U174)-1)))</f>
        <v/>
      </c>
      <c r="W174" s="237"/>
      <c r="X174" s="61" t="str">
        <f>IF(L174="","",VLOOKUP($L174,classifications!$C:$J,6,FALSE))</f>
        <v>Urban with City and Town</v>
      </c>
      <c r="Y174" s="49" t="str">
        <f t="shared" si="55"/>
        <v/>
      </c>
      <c r="Z174" s="57" t="str">
        <f>IF(Y174="","",IF(I$8="A",(RANK(Y174,Y$11:Y$355,1)+COUNTIF(Y$11:Y174,Y174)-1),(RANK(Y174,Y$11:Y$355)+COUNTIF(Y$11:Y174,Y174)-1)))</f>
        <v/>
      </c>
      <c r="AA174" s="242" t="str">
        <f>IF(L174="","",VLOOKUP($L174,classifications!C:I,7,FALSE))</f>
        <v>Predominantly Urban</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Staffordshire</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West Midlands</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528.70000000000005</v>
      </c>
      <c r="AY174" s="156"/>
      <c r="AZ174" s="44"/>
    </row>
    <row r="175" spans="1:52">
      <c r="A175" s="84" t="str">
        <f>$D$1&amp;165</f>
        <v>SD165</v>
      </c>
      <c r="B175" s="85">
        <f>IF(ISERROR(VLOOKUP(A175,classifications!A:C,3,FALSE)),0,VLOOKUP(A175,classifications!A:C,3,FALSE))</f>
        <v>0</v>
      </c>
      <c r="C175" s="31" t="s">
        <v>95</v>
      </c>
      <c r="D175" s="49" t="str">
        <f>VLOOKUP($C175,classifications!$C:$J,4,FALSE)</f>
        <v>SD</v>
      </c>
      <c r="E175" s="49">
        <f>VLOOKUP(C175,classifications!C:K,9,FALSE)</f>
        <v>0</v>
      </c>
      <c r="F175" s="59">
        <f t="shared" si="49"/>
        <v>543.20000000000005</v>
      </c>
      <c r="G175" s="105"/>
      <c r="H175" s="60">
        <f t="shared" si="50"/>
        <v>543.20000000000005</v>
      </c>
      <c r="I175" s="112">
        <f>IF(H175="","",IF($I$8="A",(RANK(H175,H$11:H$355,1)+COUNTIF(H$11:H175,H175)-1),(RANK(H175,H$11:H$355)+COUNTIF(H$11:H175,H175)-1)))</f>
        <v>142</v>
      </c>
      <c r="J175" s="58"/>
      <c r="K175" s="51">
        <f t="shared" si="61"/>
        <v>165</v>
      </c>
      <c r="L175" s="59" t="str">
        <f t="shared" si="51"/>
        <v>Great Yarmouth</v>
      </c>
      <c r="M175" s="153">
        <f t="shared" si="52"/>
        <v>592.79999999999995</v>
      </c>
      <c r="N175" s="148">
        <f t="shared" si="62"/>
        <v>592.79999999999995</v>
      </c>
      <c r="O175" s="131" t="str">
        <f t="shared" si="53"/>
        <v/>
      </c>
      <c r="P175" s="131" t="str">
        <f t="shared" si="68"/>
        <v/>
      </c>
      <c r="Q175" s="131" t="str">
        <f t="shared" si="69"/>
        <v/>
      </c>
      <c r="R175" s="127">
        <f t="shared" si="70"/>
        <v>592.79999999999995</v>
      </c>
      <c r="S175" s="60" t="str">
        <f t="shared" si="63"/>
        <v/>
      </c>
      <c r="T175" s="228">
        <f>IF(L175="","",VLOOKUP(L175,classifications!C:K,9,FALSE))</f>
        <v>0</v>
      </c>
      <c r="U175" s="235" t="str">
        <f t="shared" si="54"/>
        <v/>
      </c>
      <c r="V175" s="236" t="str">
        <f>IF(U175="","",IF($I$8="A",(RANK(U175,U$11:U$355)+COUNTIF(U$11:U175,U175)-1),(RANK(U175,U$11:U$355,1)+COUNTIF(U$11:U175,U175)-1)))</f>
        <v/>
      </c>
      <c r="W175" s="237"/>
      <c r="X175" s="61" t="str">
        <f>IF(L175="","",VLOOKUP($L175,classifications!$C:$J,6,FALSE))</f>
        <v>Urban with Significant Rural (rural including hub towns 26-49%)</v>
      </c>
      <c r="Y175" s="49" t="str">
        <f t="shared" si="55"/>
        <v/>
      </c>
      <c r="Z175" s="57" t="str">
        <f>IF(Y175="","",IF(I$8="A",(RANK(Y175,Y$11:Y$355,1)+COUNTIF(Y$11:Y175,Y175)-1),(RANK(Y175,Y$11:Y$355)+COUNTIF(Y$11:Y175,Y175)-1)))</f>
        <v/>
      </c>
      <c r="AA175" s="242" t="str">
        <f>IF(L175="","",VLOOKUP($L175,classifications!C:I,7,FALSE))</f>
        <v>Significant Rural</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Norfolk</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East of England</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543.20000000000005</v>
      </c>
      <c r="AY175" s="156"/>
      <c r="AZ175" s="44"/>
    </row>
    <row r="176" spans="1:52">
      <c r="A176" s="84" t="str">
        <f>$D$1&amp;166</f>
        <v>SD166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570.70000000000005</v>
      </c>
      <c r="G176" s="105"/>
      <c r="H176" s="60" t="str">
        <f t="shared" si="50"/>
        <v/>
      </c>
      <c r="I176" s="112" t="str">
        <f>IF(H176="","",IF($I$8="A",(RANK(H176,H$11:H$355,1)+COUNTIF(H$11:H176,H176)-1),(RANK(H176,H$11:H$355)+COUNTIF(H$11:H176,H176)-1)))</f>
        <v/>
      </c>
      <c r="J176" s="58"/>
      <c r="K176" s="51">
        <f t="shared" si="61"/>
        <v>166</v>
      </c>
      <c r="L176" s="59" t="str">
        <f t="shared" si="51"/>
        <v>Ipswich</v>
      </c>
      <c r="M176" s="153">
        <f t="shared" si="52"/>
        <v>599.20000000000005</v>
      </c>
      <c r="N176" s="148">
        <f t="shared" si="62"/>
        <v>599.20000000000005</v>
      </c>
      <c r="O176" s="131" t="str">
        <f t="shared" si="53"/>
        <v/>
      </c>
      <c r="P176" s="131" t="str">
        <f t="shared" si="68"/>
        <v/>
      </c>
      <c r="Q176" s="131" t="str">
        <f t="shared" si="69"/>
        <v/>
      </c>
      <c r="R176" s="127">
        <f t="shared" si="70"/>
        <v>599.20000000000005</v>
      </c>
      <c r="S176" s="60" t="str">
        <f t="shared" si="63"/>
        <v/>
      </c>
      <c r="T176" s="228">
        <f>IF(L176="","",VLOOKUP(L176,classifications!C:K,9,FALSE))</f>
        <v>0</v>
      </c>
      <c r="U176" s="235" t="str">
        <f t="shared" si="54"/>
        <v/>
      </c>
      <c r="V176" s="236" t="str">
        <f>IF(U176="","",IF($I$8="A",(RANK(U176,U$11:U$355)+COUNTIF(U$11:U176,U176)-1),(RANK(U176,U$11:U$355,1)+COUNTIF(U$11:U176,U176)-1)))</f>
        <v/>
      </c>
      <c r="W176" s="237"/>
      <c r="X176" s="61" t="str">
        <f>IF(L176="","",VLOOKUP($L176,classifications!$C:$J,6,FALSE))</f>
        <v>Urban with City and Town</v>
      </c>
      <c r="Y176" s="49" t="str">
        <f t="shared" si="55"/>
        <v/>
      </c>
      <c r="Z176" s="57" t="str">
        <f>IF(Y176="","",IF(I$8="A",(RANK(Y176,Y$11:Y$355,1)+COUNTIF(Y$11:Y176,Y176)-1),(RANK(Y176,Y$11:Y$355)+COUNTIF(Y$11:Y176,Y176)-1)))</f>
        <v/>
      </c>
      <c r="AA176" s="242" t="str">
        <f>IF(L176="","",VLOOKUP($L176,classifications!C:I,7,FALSE))</f>
        <v>Predominantly Urban</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Suffolk</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East of England</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570.70000000000005</v>
      </c>
      <c r="AY176" s="156"/>
      <c r="AZ176" s="44"/>
    </row>
    <row r="177" spans="1:52">
      <c r="A177" s="84" t="str">
        <f>$D$1&amp;167</f>
        <v>SD167</v>
      </c>
      <c r="B177" s="85">
        <f>IF(ISERROR(VLOOKUP(A177,classifications!A:C,3,FALSE)),0,VLOOKUP(A177,classifications!A:C,3,FALSE))</f>
        <v>0</v>
      </c>
      <c r="C177" s="31" t="s">
        <v>235</v>
      </c>
      <c r="D177" s="49" t="str">
        <f>VLOOKUP($C177,classifications!$C:$J,4,FALSE)</f>
        <v>MD</v>
      </c>
      <c r="E177" s="49">
        <f>VLOOKUP(C177,classifications!C:K,9,FALSE)</f>
        <v>0</v>
      </c>
      <c r="F177" s="59">
        <f t="shared" si="49"/>
        <v>676.9</v>
      </c>
      <c r="G177" s="105"/>
      <c r="H177" s="60" t="str">
        <f t="shared" si="50"/>
        <v/>
      </c>
      <c r="I177" s="112" t="str">
        <f>IF(H177="","",IF($I$8="A",(RANK(H177,H$11:H$355,1)+COUNTIF(H$11:H177,H177)-1),(RANK(H177,H$11:H$355)+COUNTIF(H$11:H177,H177)-1)))</f>
        <v/>
      </c>
      <c r="J177" s="58"/>
      <c r="K177" s="51">
        <f t="shared" si="61"/>
        <v>167</v>
      </c>
      <c r="L177" s="59" t="str">
        <f t="shared" si="51"/>
        <v>Newark &amp; Sherwood</v>
      </c>
      <c r="M177" s="153">
        <f t="shared" si="52"/>
        <v>599.6</v>
      </c>
      <c r="N177" s="148">
        <f t="shared" si="62"/>
        <v>599.6</v>
      </c>
      <c r="O177" s="131" t="str">
        <f t="shared" si="53"/>
        <v/>
      </c>
      <c r="P177" s="131" t="str">
        <f t="shared" si="68"/>
        <v/>
      </c>
      <c r="Q177" s="131" t="str">
        <f t="shared" si="69"/>
        <v/>
      </c>
      <c r="R177" s="127">
        <f t="shared" si="70"/>
        <v>599.6</v>
      </c>
      <c r="S177" s="60" t="str">
        <f t="shared" si="63"/>
        <v/>
      </c>
      <c r="T177" s="228">
        <f>IF(L177="","",VLOOKUP(L177,classifications!C:K,9,FALSE))</f>
        <v>0</v>
      </c>
      <c r="U177" s="235" t="str">
        <f t="shared" si="54"/>
        <v/>
      </c>
      <c r="V177" s="236" t="str">
        <f>IF(U177="","",IF($I$8="A",(RANK(U177,U$11:U$355)+COUNTIF(U$11:U177,U177)-1),(RANK(U177,U$11:U$355,1)+COUNTIF(U$11:U177,U177)-1)))</f>
        <v/>
      </c>
      <c r="W177" s="237"/>
      <c r="X177" s="61" t="str">
        <f>IF(L177="","",VLOOKUP($L177,classifications!$C:$J,6,FALSE))</f>
        <v xml:space="preserve">Largely Rural (rural including hub towns 50-79%) </v>
      </c>
      <c r="Y177" s="49" t="str">
        <f t="shared" si="55"/>
        <v/>
      </c>
      <c r="Z177" s="57" t="str">
        <f>IF(Y177="","",IF(I$8="A",(RANK(Y177,Y$11:Y$355,1)+COUNTIF(Y$11:Y177,Y177)-1),(RANK(Y177,Y$11:Y$355)+COUNTIF(Y$11:Y177,Y177)-1)))</f>
        <v/>
      </c>
      <c r="AA177" s="242" t="str">
        <f>IF(L177="","",VLOOKUP($L177,classifications!C:I,7,FALSE))</f>
        <v>Predominantly Rural</v>
      </c>
      <c r="AB177" s="236">
        <f t="shared" si="64"/>
        <v>599.6</v>
      </c>
      <c r="AC177" s="236">
        <f>IF(AB177="","",IF($I$8="A",(RANK(AB177,AB$11:AB$355)+COUNTIF(AB$11:AB177,AB177)-1),(RANK(AB177,AB$11:AB$355,1)+COUNTIF(AB$11:AB177,AB177)-1)))</f>
        <v>5</v>
      </c>
      <c r="AD177" s="236"/>
      <c r="AE177" s="51" t="str">
        <f t="shared" si="71"/>
        <v/>
      </c>
      <c r="AG177" s="143"/>
      <c r="AH177" s="52"/>
      <c r="AI177" s="61" t="str">
        <f>IF(L177="","",VLOOKUP($L177,classifications!$C:$J,8,FALSE))</f>
        <v>Nottinghamshire</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East Midlands</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676.9</v>
      </c>
      <c r="AY177" s="156"/>
      <c r="AZ177" s="44"/>
    </row>
    <row r="178" spans="1:52">
      <c r="A178" s="84" t="str">
        <f>$D$1&amp;168</f>
        <v>SD168</v>
      </c>
      <c r="B178" s="85">
        <f>IF(ISERROR(VLOOKUP(A178,classifications!A:C,3,FALSE)),0,VLOOKUP(A178,classifications!A:C,3,FALSE))</f>
        <v>0</v>
      </c>
      <c r="C178" s="31" t="s">
        <v>272</v>
      </c>
      <c r="D178" s="49" t="str">
        <f>VLOOKUP($C178,classifications!$C:$J,4,FALSE)</f>
        <v>UA</v>
      </c>
      <c r="E178" s="49">
        <f>VLOOKUP(C178,classifications!C:K,9,FALSE)</f>
        <v>0</v>
      </c>
      <c r="F178" s="59">
        <f t="shared" si="49"/>
        <v>685.2</v>
      </c>
      <c r="G178" s="105"/>
      <c r="H178" s="60" t="str">
        <f t="shared" si="50"/>
        <v/>
      </c>
      <c r="I178" s="112" t="str">
        <f>IF(H178="","",IF($I$8="A",(RANK(H178,H$11:H$355,1)+COUNTIF(H$11:H178,H178)-1),(RANK(H178,H$11:H$355)+COUNTIF(H$11:H178,H178)-1)))</f>
        <v/>
      </c>
      <c r="J178" s="58"/>
      <c r="K178" s="51">
        <f t="shared" si="61"/>
        <v>168</v>
      </c>
      <c r="L178" s="59" t="str">
        <f t="shared" si="51"/>
        <v>Preston</v>
      </c>
      <c r="M178" s="153">
        <f t="shared" si="52"/>
        <v>601.79999999999995</v>
      </c>
      <c r="N178" s="148">
        <f t="shared" si="62"/>
        <v>601.79999999999995</v>
      </c>
      <c r="O178" s="131" t="str">
        <f t="shared" si="53"/>
        <v/>
      </c>
      <c r="P178" s="131" t="str">
        <f t="shared" si="68"/>
        <v/>
      </c>
      <c r="Q178" s="131" t="str">
        <f t="shared" si="69"/>
        <v/>
      </c>
      <c r="R178" s="127">
        <f t="shared" si="70"/>
        <v>601.79999999999995</v>
      </c>
      <c r="S178" s="60" t="str">
        <f t="shared" si="63"/>
        <v/>
      </c>
      <c r="T178" s="228">
        <f>IF(L178="","",VLOOKUP(L178,classifications!C:K,9,FALSE))</f>
        <v>0</v>
      </c>
      <c r="U178" s="235" t="str">
        <f t="shared" si="54"/>
        <v/>
      </c>
      <c r="V178" s="236" t="str">
        <f>IF(U178="","",IF($I$8="A",(RANK(U178,U$11:U$355)+COUNTIF(U$11:U178,U178)-1),(RANK(U178,U$11:U$355,1)+COUNTIF(U$11:U178,U178)-1)))</f>
        <v/>
      </c>
      <c r="W178" s="237"/>
      <c r="X178" s="61" t="str">
        <f>IF(L178="","",VLOOKUP($L178,classifications!$C:$J,6,FALSE))</f>
        <v>Urban with City and Town</v>
      </c>
      <c r="Y178" s="49" t="str">
        <f t="shared" si="55"/>
        <v/>
      </c>
      <c r="Z178" s="57" t="str">
        <f>IF(Y178="","",IF(I$8="A",(RANK(Y178,Y$11:Y$355,1)+COUNTIF(Y$11:Y178,Y178)-1),(RANK(Y178,Y$11:Y$355)+COUNTIF(Y$11:Y178,Y178)-1)))</f>
        <v/>
      </c>
      <c r="AA178" s="242" t="str">
        <f>IF(L178="","",VLOOKUP($L178,classifications!C:I,7,FALSE))</f>
        <v>Predominantly Urban</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Lancashire</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North West</v>
      </c>
      <c r="AQ178" s="62">
        <f t="shared" si="66"/>
        <v>601.79999999999995</v>
      </c>
      <c r="AR178" s="57">
        <f>IF(AQ178="","",IF(I$8="A",(RANK(AQ178,AQ$11:AQ$355,1)+COUNTIF(AQ$11:AQ178,AQ178)-1),(RANK(AQ178,AQ$11:AQ$355)+COUNTIF(AQ$11:AQ178,AQ178)-1)))</f>
        <v>15</v>
      </c>
      <c r="AS178" s="52" t="str">
        <f t="shared" si="67"/>
        <v/>
      </c>
      <c r="AT178" s="57" t="str">
        <f t="shared" si="59"/>
        <v/>
      </c>
      <c r="AU178" s="62" t="str">
        <f t="shared" si="60"/>
        <v/>
      </c>
      <c r="AX178" s="44">
        <f>HLOOKUP($AX$9&amp;$AX$10,Data!$A$1:$ZZ$2000,(MATCH($C178,Data!$A$1:$A$2000,0)),FALSE)</f>
        <v>685.2</v>
      </c>
      <c r="AY178" s="156"/>
      <c r="AZ178" s="44"/>
    </row>
    <row r="179" spans="1:52">
      <c r="A179" s="84" t="str">
        <f>$D$1&amp;169</f>
        <v>SD169</v>
      </c>
      <c r="B179" s="85">
        <f>IF(ISERROR(VLOOKUP(A179,classifications!A:C,3,FALSE)),0,VLOOKUP(A179,classifications!A:C,3,FALSE))</f>
        <v>0</v>
      </c>
      <c r="C179" s="31" t="s">
        <v>96</v>
      </c>
      <c r="D179" s="49" t="str">
        <f>VLOOKUP($C179,classifications!$C:$J,4,FALSE)</f>
        <v>SD</v>
      </c>
      <c r="E179" s="49">
        <f>VLOOKUP(C179,classifications!C:K,9,FALSE)</f>
        <v>0</v>
      </c>
      <c r="F179" s="59">
        <f t="shared" si="49"/>
        <v>441.1</v>
      </c>
      <c r="G179" s="105"/>
      <c r="H179" s="60">
        <f t="shared" si="50"/>
        <v>441.1</v>
      </c>
      <c r="I179" s="112">
        <f>IF(H179="","",IF($I$8="A",(RANK(H179,H$11:H$355,1)+COUNTIF(H$11:H179,H179)-1),(RANK(H179,H$11:H$355)+COUNTIF(H$11:H179,H179)-1)))</f>
        <v>52</v>
      </c>
      <c r="J179" s="58"/>
      <c r="K179" s="51">
        <f t="shared" si="61"/>
        <v>169</v>
      </c>
      <c r="L179" s="59" t="str">
        <f t="shared" si="51"/>
        <v>Pendle</v>
      </c>
      <c r="M179" s="153">
        <f t="shared" si="52"/>
        <v>602.29999999999995</v>
      </c>
      <c r="N179" s="148">
        <f t="shared" si="62"/>
        <v>602.29999999999995</v>
      </c>
      <c r="O179" s="131" t="str">
        <f t="shared" si="53"/>
        <v/>
      </c>
      <c r="P179" s="131" t="str">
        <f t="shared" si="68"/>
        <v/>
      </c>
      <c r="Q179" s="131" t="str">
        <f t="shared" si="69"/>
        <v/>
      </c>
      <c r="R179" s="127">
        <f t="shared" si="70"/>
        <v>602.29999999999995</v>
      </c>
      <c r="S179" s="60" t="str">
        <f t="shared" si="63"/>
        <v/>
      </c>
      <c r="T179" s="228">
        <f>IF(L179="","",VLOOKUP(L179,classifications!C:K,9,FALSE))</f>
        <v>0</v>
      </c>
      <c r="U179" s="235" t="str">
        <f t="shared" si="54"/>
        <v/>
      </c>
      <c r="V179" s="236" t="str">
        <f>IF(U179="","",IF($I$8="A",(RANK(U179,U$11:U$355)+COUNTIF(U$11:U179,U179)-1),(RANK(U179,U$11:U$355,1)+COUNTIF(U$11:U179,U179)-1)))</f>
        <v/>
      </c>
      <c r="W179" s="237"/>
      <c r="X179" s="61" t="str">
        <f>IF(L179="","",VLOOKUP($L179,classifications!$C:$J,6,FALSE))</f>
        <v>Urban with City and Town</v>
      </c>
      <c r="Y179" s="49" t="str">
        <f t="shared" si="55"/>
        <v/>
      </c>
      <c r="Z179" s="57" t="str">
        <f>IF(Y179="","",IF(I$8="A",(RANK(Y179,Y$11:Y$355,1)+COUNTIF(Y$11:Y179,Y179)-1),(RANK(Y179,Y$11:Y$355)+COUNTIF(Y$11:Y179,Y179)-1)))</f>
        <v/>
      </c>
      <c r="AA179" s="242" t="str">
        <f>IF(L179="","",VLOOKUP($L179,classifications!C:I,7,FALSE))</f>
        <v>Predominantly Urban</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Lancashire</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North West</v>
      </c>
      <c r="AQ179" s="62">
        <f t="shared" si="66"/>
        <v>602.29999999999995</v>
      </c>
      <c r="AR179" s="57">
        <f>IF(AQ179="","",IF(I$8="A",(RANK(AQ179,AQ$11:AQ$355,1)+COUNTIF(AQ$11:AQ179,AQ179)-1),(RANK(AQ179,AQ$11:AQ$355)+COUNTIF(AQ$11:AQ179,AQ179)-1)))</f>
        <v>16</v>
      </c>
      <c r="AS179" s="52" t="str">
        <f t="shared" si="67"/>
        <v/>
      </c>
      <c r="AT179" s="57" t="str">
        <f t="shared" si="59"/>
        <v/>
      </c>
      <c r="AU179" s="62" t="str">
        <f t="shared" si="60"/>
        <v/>
      </c>
      <c r="AX179" s="44">
        <f>HLOOKUP($AX$9&amp;$AX$10,Data!$A$1:$ZZ$2000,(MATCH($C179,Data!$A$1:$A$2000,0)),FALSE)</f>
        <v>441.1</v>
      </c>
      <c r="AY179" s="156"/>
      <c r="AZ179" s="44"/>
    </row>
    <row r="180" spans="1:52">
      <c r="A180" s="84" t="str">
        <f>$D$1&amp;170</f>
        <v>SD170</v>
      </c>
      <c r="B180" s="85">
        <f>IF(ISERROR(VLOOKUP(A180,classifications!A:C,3,FALSE)),0,VLOOKUP(A180,classifications!A:C,3,FALSE))</f>
        <v>0</v>
      </c>
      <c r="C180" s="31" t="s">
        <v>97</v>
      </c>
      <c r="D180" s="49" t="str">
        <f>VLOOKUP($C180,classifications!$C:$J,4,FALSE)</f>
        <v>SD</v>
      </c>
      <c r="E180" s="49">
        <f>VLOOKUP(C180,classifications!C:K,9,FALSE)</f>
        <v>0</v>
      </c>
      <c r="F180" s="59">
        <f t="shared" si="49"/>
        <v>387.2</v>
      </c>
      <c r="G180" s="105"/>
      <c r="H180" s="60">
        <f t="shared" si="50"/>
        <v>387.2</v>
      </c>
      <c r="I180" s="112">
        <f>IF(H180="","",IF($I$8="A",(RANK(H180,H$11:H$355,1)+COUNTIF(H$11:H180,H180)-1),(RANK(H180,H$11:H$355)+COUNTIF(H$11:H180,H180)-1)))</f>
        <v>19</v>
      </c>
      <c r="J180" s="58"/>
      <c r="K180" s="51">
        <f t="shared" si="61"/>
        <v>170</v>
      </c>
      <c r="L180" s="59" t="str">
        <f t="shared" si="51"/>
        <v>Mansfield</v>
      </c>
      <c r="M180" s="153">
        <f t="shared" si="52"/>
        <v>614.20000000000005</v>
      </c>
      <c r="N180" s="148">
        <f t="shared" si="62"/>
        <v>614.20000000000005</v>
      </c>
      <c r="O180" s="131" t="str">
        <f t="shared" si="53"/>
        <v/>
      </c>
      <c r="P180" s="131" t="str">
        <f t="shared" si="68"/>
        <v/>
      </c>
      <c r="Q180" s="131" t="str">
        <f t="shared" si="69"/>
        <v/>
      </c>
      <c r="R180" s="127">
        <f t="shared" si="70"/>
        <v>614.20000000000005</v>
      </c>
      <c r="S180" s="60" t="str">
        <f t="shared" si="63"/>
        <v/>
      </c>
      <c r="T180" s="228">
        <f>IF(L180="","",VLOOKUP(L180,classifications!C:K,9,FALSE))</f>
        <v>0</v>
      </c>
      <c r="U180" s="235" t="str">
        <f t="shared" si="54"/>
        <v/>
      </c>
      <c r="V180" s="236" t="str">
        <f>IF(U180="","",IF($I$8="A",(RANK(U180,U$11:U$355)+COUNTIF(U$11:U180,U180)-1),(RANK(U180,U$11:U$355,1)+COUNTIF(U$11:U180,U180)-1)))</f>
        <v/>
      </c>
      <c r="W180" s="237"/>
      <c r="X180" s="61" t="str">
        <f>IF(L180="","",VLOOKUP($L180,classifications!$C:$J,6,FALSE))</f>
        <v>Urban with City and Town</v>
      </c>
      <c r="Y180" s="49" t="str">
        <f t="shared" si="55"/>
        <v/>
      </c>
      <c r="Z180" s="57" t="str">
        <f>IF(Y180="","",IF(I$8="A",(RANK(Y180,Y$11:Y$355,1)+COUNTIF(Y$11:Y180,Y180)-1),(RANK(Y180,Y$11:Y$355)+COUNTIF(Y$11:Y180,Y180)-1)))</f>
        <v/>
      </c>
      <c r="AA180" s="242" t="str">
        <f>IF(L180="","",VLOOKUP($L180,classifications!C:I,7,FALSE))</f>
        <v>Predominantly Urban</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Nottinghamshire</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East Midlands</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f>HLOOKUP($AX$9&amp;$AX$10,Data!$A$1:$ZZ$2000,(MATCH($C180,Data!$A$1:$A$2000,0)),FALSE)</f>
        <v>387.2</v>
      </c>
      <c r="AY180" s="156"/>
      <c r="AZ180" s="44"/>
    </row>
    <row r="181" spans="1:52">
      <c r="A181" s="84" t="str">
        <f>$D$1&amp;171</f>
        <v>SD171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428.5</v>
      </c>
      <c r="G181" s="105"/>
      <c r="H181" s="60">
        <f t="shared" si="50"/>
        <v>428.5</v>
      </c>
      <c r="I181" s="112">
        <f>IF(H181="","",IF($I$8="A",(RANK(H181,H$11:H$355,1)+COUNTIF(H$11:H181,H181)-1),(RANK(H181,H$11:H$355)+COUNTIF(H$11:H181,H181)-1)))</f>
        <v>41</v>
      </c>
      <c r="J181" s="58"/>
      <c r="K181" s="51">
        <f t="shared" si="61"/>
        <v>171</v>
      </c>
      <c r="L181" s="59" t="str">
        <f t="shared" si="51"/>
        <v>Bolsover</v>
      </c>
      <c r="M181" s="153">
        <f t="shared" si="52"/>
        <v>618.79999999999995</v>
      </c>
      <c r="N181" s="148">
        <f t="shared" si="62"/>
        <v>618.79999999999995</v>
      </c>
      <c r="O181" s="131" t="str">
        <f t="shared" si="53"/>
        <v/>
      </c>
      <c r="P181" s="131" t="str">
        <f t="shared" si="68"/>
        <v/>
      </c>
      <c r="Q181" s="131" t="str">
        <f t="shared" si="69"/>
        <v/>
      </c>
      <c r="R181" s="127">
        <f t="shared" si="70"/>
        <v>618.79999999999995</v>
      </c>
      <c r="S181" s="60" t="str">
        <f t="shared" si="63"/>
        <v/>
      </c>
      <c r="T181" s="228">
        <f>IF(L181="","",VLOOKUP(L181,classifications!C:K,9,FALSE))</f>
        <v>0</v>
      </c>
      <c r="U181" s="235" t="str">
        <f t="shared" si="54"/>
        <v/>
      </c>
      <c r="V181" s="236" t="str">
        <f>IF(U181="","",IF($I$8="A",(RANK(U181,U$11:U$355)+COUNTIF(U$11:U181,U181)-1),(RANK(U181,U$11:U$355,1)+COUNTIF(U$11:U181,U181)-1)))</f>
        <v/>
      </c>
      <c r="W181" s="237"/>
      <c r="X181" s="61" t="str">
        <f>IF(L181="","",VLOOKUP($L181,classifications!$C:$J,6,FALSE))</f>
        <v>Urban with Significant Rural (rural including hub towns 26-49%)</v>
      </c>
      <c r="Y181" s="49" t="str">
        <f t="shared" si="55"/>
        <v/>
      </c>
      <c r="Z181" s="57" t="str">
        <f>IF(Y181="","",IF(I$8="A",(RANK(Y181,Y$11:Y$355,1)+COUNTIF(Y$11:Y181,Y181)-1),(RANK(Y181,Y$11:Y$355)+COUNTIF(Y$11:Y181,Y181)-1)))</f>
        <v/>
      </c>
      <c r="AA181" s="242" t="str">
        <f>IF(L181="","",VLOOKUP($L181,classifications!C:I,7,FALSE))</f>
        <v>Significant Rural</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Derbyshire</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East Midlands</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428.5</v>
      </c>
      <c r="AY181" s="156"/>
      <c r="AZ181" s="44"/>
    </row>
    <row r="182" spans="1:52">
      <c r="A182" s="84" t="str">
        <f>$D$1&amp;172</f>
        <v>SD172</v>
      </c>
      <c r="B182" s="85">
        <f>IF(ISERROR(VLOOKUP(A182,classifications!A:C,3,FALSE)),0,VLOOKUP(A182,classifications!A:C,3,FALSE))</f>
        <v>0</v>
      </c>
      <c r="C182" s="31" t="s">
        <v>236</v>
      </c>
      <c r="D182" s="49" t="str">
        <f>VLOOKUP($C182,classifications!$C:$J,4,FALSE)</f>
        <v>MD</v>
      </c>
      <c r="E182" s="49">
        <f>VLOOKUP(C182,classifications!C:K,9,FALSE)</f>
        <v>0</v>
      </c>
      <c r="F182" s="59">
        <f t="shared" si="49"/>
        <v>463</v>
      </c>
      <c r="G182" s="105"/>
      <c r="H182" s="60" t="str">
        <f t="shared" si="50"/>
        <v/>
      </c>
      <c r="I182" s="112" t="str">
        <f>IF(H182="","",IF($I$8="A",(RANK(H182,H$11:H$355,1)+COUNTIF(H$11:H182,H182)-1),(RANK(H182,H$11:H$355)+COUNTIF(H$11:H182,H182)-1)))</f>
        <v/>
      </c>
      <c r="J182" s="58"/>
      <c r="K182" s="51">
        <f t="shared" si="61"/>
        <v>172</v>
      </c>
      <c r="L182" s="59" t="str">
        <f t="shared" si="51"/>
        <v>Sevenoaks</v>
      </c>
      <c r="M182" s="153">
        <f t="shared" si="52"/>
        <v>619.29999999999995</v>
      </c>
      <c r="N182" s="148">
        <f t="shared" si="62"/>
        <v>619.29999999999995</v>
      </c>
      <c r="O182" s="131" t="str">
        <f t="shared" si="53"/>
        <v/>
      </c>
      <c r="P182" s="131" t="str">
        <f t="shared" si="68"/>
        <v/>
      </c>
      <c r="Q182" s="131" t="str">
        <f t="shared" si="69"/>
        <v/>
      </c>
      <c r="R182" s="127">
        <f t="shared" si="70"/>
        <v>619.29999999999995</v>
      </c>
      <c r="S182" s="60" t="str">
        <f t="shared" si="63"/>
        <v/>
      </c>
      <c r="T182" s="228">
        <f>IF(L182="","",VLOOKUP(L182,classifications!C:K,9,FALSE))</f>
        <v>0</v>
      </c>
      <c r="U182" s="235" t="str">
        <f t="shared" si="54"/>
        <v/>
      </c>
      <c r="V182" s="236" t="str">
        <f>IF(U182="","",IF($I$8="A",(RANK(U182,U$11:U$355)+COUNTIF(U$11:U182,U182)-1),(RANK(U182,U$11:U$355,1)+COUNTIF(U$11:U182,U182)-1)))</f>
        <v/>
      </c>
      <c r="W182" s="237"/>
      <c r="X182" s="61" t="str">
        <f>IF(L182="","",VLOOKUP($L182,classifications!$C:$J,6,FALSE))</f>
        <v xml:space="preserve">Largely Rural (rural including hub towns 50-79%) </v>
      </c>
      <c r="Y182" s="49" t="str">
        <f t="shared" si="55"/>
        <v/>
      </c>
      <c r="Z182" s="57" t="str">
        <f>IF(Y182="","",IF(I$8="A",(RANK(Y182,Y$11:Y$355,1)+COUNTIF(Y$11:Y182,Y182)-1),(RANK(Y182,Y$11:Y$355)+COUNTIF(Y$11:Y182,Y182)-1)))</f>
        <v/>
      </c>
      <c r="AA182" s="242" t="str">
        <f>IF(L182="","",VLOOKUP($L182,classifications!C:I,7,FALSE))</f>
        <v>Predominantly Rural</v>
      </c>
      <c r="AB182" s="236">
        <f t="shared" si="64"/>
        <v>619.29999999999995</v>
      </c>
      <c r="AC182" s="236">
        <f>IF(AB182="","",IF($I$8="A",(RANK(AB182,AB$11:AB$355)+COUNTIF(AB$11:AB182,AB182)-1),(RANK(AB182,AB$11:AB$355,1)+COUNTIF(AB$11:AB182,AB182)-1)))</f>
        <v>4</v>
      </c>
      <c r="AD182" s="236"/>
      <c r="AE182" s="51" t="str">
        <f t="shared" si="71"/>
        <v/>
      </c>
      <c r="AG182" s="143"/>
      <c r="AH182" s="52"/>
      <c r="AI182" s="61" t="str">
        <f>IF(L182="","",VLOOKUP($L182,classifications!$C:$J,8,FALSE))</f>
        <v>Kent</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South East</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463</v>
      </c>
      <c r="AY182" s="156"/>
      <c r="AZ182" s="44"/>
    </row>
    <row r="183" spans="1:52">
      <c r="A183" s="84" t="str">
        <f>$D$1&amp;173</f>
        <v>SD173</v>
      </c>
      <c r="B183" s="85">
        <f>IF(ISERROR(VLOOKUP(A183,classifications!A:C,3,FALSE)),0,VLOOKUP(A183,classifications!A:C,3,FALSE))</f>
        <v>0</v>
      </c>
      <c r="C183" s="31" t="s">
        <v>99</v>
      </c>
      <c r="D183" s="49" t="str">
        <f>VLOOKUP($C183,classifications!$C:$J,4,FALSE)</f>
        <v>SD</v>
      </c>
      <c r="E183" s="49">
        <f>VLOOKUP(C183,classifications!C:K,9,FALSE)</f>
        <v>0</v>
      </c>
      <c r="F183" s="59">
        <f t="shared" si="49"/>
        <v>614.20000000000005</v>
      </c>
      <c r="G183" s="105"/>
      <c r="H183" s="60">
        <f t="shared" si="50"/>
        <v>614.20000000000005</v>
      </c>
      <c r="I183" s="112">
        <f>IF(H183="","",IF($I$8="A",(RANK(H183,H$11:H$355,1)+COUNTIF(H$11:H183,H183)-1),(RANK(H183,H$11:H$355)+COUNTIF(H$11:H183,H183)-1)))</f>
        <v>170</v>
      </c>
      <c r="J183" s="58"/>
      <c r="K183" s="51">
        <f t="shared" si="61"/>
        <v>173</v>
      </c>
      <c r="L183" s="59" t="str">
        <f t="shared" si="51"/>
        <v>Ribble Valley</v>
      </c>
      <c r="M183" s="153">
        <f t="shared" si="52"/>
        <v>619.6</v>
      </c>
      <c r="N183" s="148">
        <f t="shared" si="62"/>
        <v>619.6</v>
      </c>
      <c r="O183" s="131" t="str">
        <f t="shared" si="53"/>
        <v/>
      </c>
      <c r="P183" s="131" t="str">
        <f t="shared" si="68"/>
        <v/>
      </c>
      <c r="Q183" s="131" t="str">
        <f t="shared" si="69"/>
        <v/>
      </c>
      <c r="R183" s="127">
        <f t="shared" si="70"/>
        <v>619.6</v>
      </c>
      <c r="S183" s="60" t="str">
        <f t="shared" si="63"/>
        <v/>
      </c>
      <c r="T183" s="228" t="str">
        <f>IF(L183="","",VLOOKUP(L183,classifications!C:K,9,FALSE))</f>
        <v>Sparse</v>
      </c>
      <c r="U183" s="235">
        <f t="shared" si="54"/>
        <v>619.6</v>
      </c>
      <c r="V183" s="236">
        <f>IF(U183="","",IF($I$8="A",(RANK(U183,U$11:U$355)+COUNTIF(U$11:U183,U183)-1),(RANK(U183,U$11:U$355,1)+COUNTIF(U$11:U183,U183)-1)))</f>
        <v>3</v>
      </c>
      <c r="W183" s="237"/>
      <c r="X183" s="61" t="str">
        <f>IF(L183="","",VLOOKUP($L183,classifications!$C:$J,6,FALSE))</f>
        <v xml:space="preserve">Mainly Rural (rural including hub towns &gt;=80%) </v>
      </c>
      <c r="Y183" s="49">
        <f t="shared" si="55"/>
        <v>619.6</v>
      </c>
      <c r="Z183" s="57">
        <f>IF(Y183="","",IF(I$8="A",(RANK(Y183,Y$11:Y$355,1)+COUNTIF(Y$11:Y183,Y183)-1),(RANK(Y183,Y$11:Y$355)+COUNTIF(Y$11:Y183,Y183)-1)))</f>
        <v>39</v>
      </c>
      <c r="AA183" s="242" t="str">
        <f>IF(L183="","",VLOOKUP($L183,classifications!C:I,7,FALSE))</f>
        <v>Predominantly Rural</v>
      </c>
      <c r="AB183" s="236">
        <f t="shared" si="64"/>
        <v>619.6</v>
      </c>
      <c r="AC183" s="236">
        <f>IF(AB183="","",IF($I$8="A",(RANK(AB183,AB$11:AB$355)+COUNTIF(AB$11:AB183,AB183)-1),(RANK(AB183,AB$11:AB$355,1)+COUNTIF(AB$11:AB183,AB183)-1)))</f>
        <v>3</v>
      </c>
      <c r="AD183" s="236"/>
      <c r="AE183" s="51" t="str">
        <f t="shared" si="71"/>
        <v/>
      </c>
      <c r="AG183" s="143"/>
      <c r="AH183" s="52"/>
      <c r="AI183" s="61" t="str">
        <f>IF(L183="","",VLOOKUP($L183,classifications!$C:$J,8,FALSE))</f>
        <v>Lancashire</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North West</v>
      </c>
      <c r="AQ183" s="62">
        <f t="shared" si="66"/>
        <v>619.6</v>
      </c>
      <c r="AR183" s="57">
        <f>IF(AQ183="","",IF(I$8="A",(RANK(AQ183,AQ$11:AQ$355,1)+COUNTIF(AQ$11:AQ183,AQ183)-1),(RANK(AQ183,AQ$11:AQ$355)+COUNTIF(AQ$11:AQ183,AQ183)-1)))</f>
        <v>17</v>
      </c>
      <c r="AS183" s="52" t="str">
        <f t="shared" si="67"/>
        <v/>
      </c>
      <c r="AT183" s="57" t="str">
        <f t="shared" si="59"/>
        <v/>
      </c>
      <c r="AU183" s="62" t="str">
        <f t="shared" si="60"/>
        <v/>
      </c>
      <c r="AX183" s="44">
        <f>HLOOKUP($AX$9&amp;$AX$10,Data!$A$1:$ZZ$2000,(MATCH($C183,Data!$A$1:$A$2000,0)),FALSE)</f>
        <v>614.20000000000005</v>
      </c>
      <c r="AY183" s="156"/>
      <c r="AZ183" s="44"/>
    </row>
    <row r="184" spans="1:52">
      <c r="A184" s="84" t="str">
        <f>$D$1&amp;174</f>
        <v>SD174</v>
      </c>
      <c r="B184" s="85">
        <f>IF(ISERROR(VLOOKUP(A184,classifications!A:C,3,FALSE)),0,VLOOKUP(A184,classifications!A:C,3,FALSE))</f>
        <v>0</v>
      </c>
      <c r="C184" s="31" t="s">
        <v>273</v>
      </c>
      <c r="D184" s="49" t="str">
        <f>VLOOKUP($C184,classifications!$C:$J,4,FALSE)</f>
        <v>UA</v>
      </c>
      <c r="E184" s="49">
        <f>VLOOKUP(C184,classifications!C:K,9,FALSE)</f>
        <v>0</v>
      </c>
      <c r="F184" s="59">
        <f t="shared" si="49"/>
        <v>622.70000000000005</v>
      </c>
      <c r="G184" s="105"/>
      <c r="H184" s="60" t="str">
        <f t="shared" si="50"/>
        <v/>
      </c>
      <c r="I184" s="112" t="str">
        <f>IF(H184="","",IF($I$8="A",(RANK(H184,H$11:H$355,1)+COUNTIF(H$11:H184,H184)-1),(RANK(H184,H$11:H$355)+COUNTIF(H$11:H184,H184)-1)))</f>
        <v/>
      </c>
      <c r="J184" s="58"/>
      <c r="K184" s="51">
        <f t="shared" si="61"/>
        <v>174</v>
      </c>
      <c r="L184" s="59" t="str">
        <f t="shared" si="51"/>
        <v>South Holland</v>
      </c>
      <c r="M184" s="153">
        <f t="shared" si="52"/>
        <v>622.29999999999995</v>
      </c>
      <c r="N184" s="148">
        <f t="shared" si="62"/>
        <v>622.29999999999995</v>
      </c>
      <c r="O184" s="131" t="str">
        <f t="shared" si="53"/>
        <v/>
      </c>
      <c r="P184" s="131" t="str">
        <f t="shared" si="68"/>
        <v/>
      </c>
      <c r="Q184" s="131" t="str">
        <f t="shared" si="69"/>
        <v/>
      </c>
      <c r="R184" s="127">
        <f t="shared" si="70"/>
        <v>622.29999999999995</v>
      </c>
      <c r="S184" s="60" t="str">
        <f t="shared" si="63"/>
        <v/>
      </c>
      <c r="T184" s="228" t="str">
        <f>IF(L184="","",VLOOKUP(L184,classifications!C:K,9,FALSE))</f>
        <v>Sparse</v>
      </c>
      <c r="U184" s="235">
        <f t="shared" si="54"/>
        <v>622.29999999999995</v>
      </c>
      <c r="V184" s="236">
        <f>IF(U184="","",IF($I$8="A",(RANK(U184,U$11:U$355)+COUNTIF(U$11:U184,U184)-1),(RANK(U184,U$11:U$355,1)+COUNTIF(U$11:U184,U184)-1)))</f>
        <v>2</v>
      </c>
      <c r="W184" s="237"/>
      <c r="X184" s="61" t="str">
        <f>IF(L184="","",VLOOKUP($L184,classifications!$C:$J,6,FALSE))</f>
        <v xml:space="preserve">Largely Rural (rural including hub towns 50-79%) </v>
      </c>
      <c r="Y184" s="49" t="str">
        <f t="shared" si="55"/>
        <v/>
      </c>
      <c r="Z184" s="57" t="str">
        <f>IF(Y184="","",IF(I$8="A",(RANK(Y184,Y$11:Y$355,1)+COUNTIF(Y$11:Y184,Y184)-1),(RANK(Y184,Y$11:Y$355)+COUNTIF(Y$11:Y184,Y184)-1)))</f>
        <v/>
      </c>
      <c r="AA184" s="242" t="str">
        <f>IF(L184="","",VLOOKUP($L184,classifications!C:I,7,FALSE))</f>
        <v>Predominantly Rural</v>
      </c>
      <c r="AB184" s="236">
        <f t="shared" si="64"/>
        <v>622.29999999999995</v>
      </c>
      <c r="AC184" s="236">
        <f>IF(AB184="","",IF($I$8="A",(RANK(AB184,AB$11:AB$355)+COUNTIF(AB$11:AB184,AB184)-1),(RANK(AB184,AB$11:AB$355,1)+COUNTIF(AB$11:AB184,AB184)-1)))</f>
        <v>2</v>
      </c>
      <c r="AD184" s="236"/>
      <c r="AE184" s="51" t="str">
        <f t="shared" si="71"/>
        <v/>
      </c>
      <c r="AG184" s="143"/>
      <c r="AH184" s="52"/>
      <c r="AI184" s="61" t="str">
        <f>IF(L184="","",VLOOKUP($L184,classifications!$C:$J,8,FALSE))</f>
        <v>Lincolnshire</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East Midlands</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622.70000000000005</v>
      </c>
      <c r="AY184" s="156"/>
      <c r="AZ184" s="44"/>
    </row>
    <row r="185" spans="1:52">
      <c r="A185" s="84" t="str">
        <f>$D$1&amp;175</f>
        <v>SD175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540.20000000000005</v>
      </c>
      <c r="G185" s="105"/>
      <c r="H185" s="60">
        <f t="shared" si="50"/>
        <v>540.20000000000005</v>
      </c>
      <c r="I185" s="112">
        <f>IF(H185="","",IF($I$8="A",(RANK(H185,H$11:H$355,1)+COUNTIF(H$11:H185,H185)-1),(RANK(H185,H$11:H$355)+COUNTIF(H$11:H185,H185)-1)))</f>
        <v>140</v>
      </c>
      <c r="J185" s="58"/>
      <c r="K185" s="51">
        <f t="shared" si="61"/>
        <v>175</v>
      </c>
      <c r="L185" s="59" t="str">
        <f t="shared" si="51"/>
        <v>Boston</v>
      </c>
      <c r="M185" s="153">
        <f t="shared" si="52"/>
        <v>622.4</v>
      </c>
      <c r="N185" s="148">
        <f t="shared" si="62"/>
        <v>622.4</v>
      </c>
      <c r="O185" s="131" t="str">
        <f t="shared" si="53"/>
        <v/>
      </c>
      <c r="P185" s="131" t="str">
        <f t="shared" si="68"/>
        <v/>
      </c>
      <c r="Q185" s="131" t="str">
        <f t="shared" si="69"/>
        <v/>
      </c>
      <c r="R185" s="127">
        <f t="shared" si="70"/>
        <v>622.4</v>
      </c>
      <c r="S185" s="60" t="str">
        <f t="shared" si="63"/>
        <v/>
      </c>
      <c r="T185" s="228" t="str">
        <f>IF(L185="","",VLOOKUP(L185,classifications!C:K,9,FALSE))</f>
        <v>Sparse</v>
      </c>
      <c r="U185" s="235">
        <f t="shared" si="54"/>
        <v>622.4</v>
      </c>
      <c r="V185" s="236">
        <f>IF(U185="","",IF($I$8="A",(RANK(U185,U$11:U$355)+COUNTIF(U$11:U185,U185)-1),(RANK(U185,U$11:U$355,1)+COUNTIF(U$11:U185,U185)-1)))</f>
        <v>1</v>
      </c>
      <c r="W185" s="237"/>
      <c r="X185" s="61" t="str">
        <f>IF(L185="","",VLOOKUP($L185,classifications!$C:$J,6,FALSE))</f>
        <v>Urban with Significant Rural (rural including hub towns 26-49%)</v>
      </c>
      <c r="Y185" s="49" t="str">
        <f t="shared" si="55"/>
        <v/>
      </c>
      <c r="Z185" s="57" t="str">
        <f>IF(Y185="","",IF(I$8="A",(RANK(Y185,Y$11:Y$355,1)+COUNTIF(Y$11:Y185,Y185)-1),(RANK(Y185,Y$11:Y$355)+COUNTIF(Y$11:Y185,Y185)-1)))</f>
        <v/>
      </c>
      <c r="AA185" s="242" t="str">
        <f>IF(L185="","",VLOOKUP($L185,classifications!C:I,7,FALSE))</f>
        <v>Significant Rural</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Lincolnshire</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East Midlands</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540.20000000000005</v>
      </c>
      <c r="AY185" s="156"/>
      <c r="AZ185" s="44"/>
    </row>
    <row r="186" spans="1:52">
      <c r="A186" s="84" t="str">
        <f>$D$1&amp;176</f>
        <v>SD176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v>
      </c>
      <c r="I186" s="112" t="e">
        <f>IF(H186="","",IF($I$8="A",(RANK(H186,H$11:H$355,1)+COUNTIF(H$11:H186,H186)-1),(RANK(H186,H$11:H$355)+COUNTIF(H$11:H186,H186)-1)))</f>
        <v>#VALUE!</v>
      </c>
      <c r="J186" s="58"/>
      <c r="K186" s="51">
        <f t="shared" si="61"/>
        <v>176</v>
      </c>
      <c r="L186" s="59" t="str">
        <f t="shared" si="51"/>
        <v>Gedling</v>
      </c>
      <c r="M186" s="153">
        <f t="shared" si="52"/>
        <v>623.79999999999995</v>
      </c>
      <c r="N186" s="148">
        <f t="shared" si="62"/>
        <v>623.79999999999995</v>
      </c>
      <c r="O186" s="131" t="str">
        <f t="shared" si="53"/>
        <v/>
      </c>
      <c r="P186" s="131" t="str">
        <f t="shared" si="68"/>
        <v/>
      </c>
      <c r="Q186" s="131" t="str">
        <f t="shared" si="69"/>
        <v/>
      </c>
      <c r="R186" s="127">
        <f t="shared" si="70"/>
        <v>623.79999999999995</v>
      </c>
      <c r="S186" s="60" t="str">
        <f t="shared" si="63"/>
        <v/>
      </c>
      <c r="T186" s="228">
        <f>IF(L186="","",VLOOKUP(L186,classifications!C:K,9,FALSE))</f>
        <v>0</v>
      </c>
      <c r="U186" s="235" t="str">
        <f t="shared" si="54"/>
        <v/>
      </c>
      <c r="V186" s="236" t="str">
        <f>IF(U186="","",IF($I$8="A",(RANK(U186,U$11:U$355)+COUNTIF(U$11:U186,U186)-1),(RANK(U186,U$11:U$355,1)+COUNTIF(U$11:U186,U186)-1)))</f>
        <v/>
      </c>
      <c r="W186" s="237"/>
      <c r="X186" s="61" t="str">
        <f>IF(L186="","",VLOOKUP($L186,classifications!$C:$J,6,FALSE))</f>
        <v>Urban with Minor Conurbation</v>
      </c>
      <c r="Y186" s="49" t="str">
        <f t="shared" si="55"/>
        <v/>
      </c>
      <c r="Z186" s="57" t="str">
        <f>IF(Y186="","",IF(I$8="A",(RANK(Y186,Y$11:Y$355,1)+COUNTIF(Y$11:Y186,Y186)-1),(RANK(Y186,Y$11:Y$355)+COUNTIF(Y$11:Y186,Y186)-1)))</f>
        <v/>
      </c>
      <c r="AA186" s="242" t="str">
        <f>IF(L186="","",VLOOKUP($L186,classifications!C:I,7,FALSE))</f>
        <v>Predominantly Urban</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Nottinghamshire</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East Midlands</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SD177</v>
      </c>
      <c r="B187" s="85">
        <f>IF(ISERROR(VLOOKUP(A187,classifications!A:C,3,FALSE)),0,VLOOKUP(A187,classifications!A:C,3,FALSE))</f>
        <v>0</v>
      </c>
      <c r="C187" s="31" t="s">
        <v>214</v>
      </c>
      <c r="D187" s="49" t="str">
        <f>VLOOKUP($C187,classifications!$C:$J,4,FALSE)</f>
        <v>L</v>
      </c>
      <c r="E187" s="49">
        <f>VLOOKUP(C187,classifications!C:K,9,FALSE)</f>
        <v>0</v>
      </c>
      <c r="F187" s="59">
        <f t="shared" si="49"/>
        <v>498.5</v>
      </c>
      <c r="G187" s="105"/>
      <c r="H187" s="60" t="str">
        <f t="shared" si="50"/>
        <v/>
      </c>
      <c r="I187" s="112" t="str">
        <f>IF(H187="","",IF($I$8="A",(RANK(H187,H$11:H$355,1)+COUNTIF(H$11:H187,H187)-1),(RANK(H187,H$11:H$355)+COUNTIF(H$11:H187,H187)-1)))</f>
        <v/>
      </c>
      <c r="J187" s="58"/>
      <c r="K187" s="51">
        <f t="shared" si="61"/>
        <v>177</v>
      </c>
      <c r="L187" s="59" t="str">
        <f t="shared" si="51"/>
        <v>Barrow-in-Furness</v>
      </c>
      <c r="M187" s="153">
        <f t="shared" si="52"/>
        <v>640</v>
      </c>
      <c r="N187" s="148">
        <f t="shared" si="62"/>
        <v>640</v>
      </c>
      <c r="O187" s="131" t="str">
        <f t="shared" si="53"/>
        <v/>
      </c>
      <c r="P187" s="131" t="str">
        <f t="shared" si="68"/>
        <v/>
      </c>
      <c r="Q187" s="131" t="str">
        <f t="shared" si="69"/>
        <v/>
      </c>
      <c r="R187" s="127">
        <f t="shared" si="70"/>
        <v>640</v>
      </c>
      <c r="S187" s="60" t="str">
        <f t="shared" si="63"/>
        <v/>
      </c>
      <c r="T187" s="228">
        <f>IF(L187="","",VLOOKUP(L187,classifications!C:K,9,FALSE))</f>
        <v>0</v>
      </c>
      <c r="U187" s="235" t="str">
        <f t="shared" si="54"/>
        <v/>
      </c>
      <c r="V187" s="236" t="str">
        <f>IF(U187="","",IF($I$8="A",(RANK(U187,U$11:U$355)+COUNTIF(U$11:U187,U187)-1),(RANK(U187,U$11:U$355,1)+COUNTIF(U$11:U187,U187)-1)))</f>
        <v/>
      </c>
      <c r="W187" s="237"/>
      <c r="X187" s="61" t="str">
        <f>IF(L187="","",VLOOKUP($L187,classifications!$C:$J,6,FALSE))</f>
        <v>Urban with Significant Rural (rural including hub towns 26-49%)</v>
      </c>
      <c r="Y187" s="49" t="str">
        <f t="shared" si="55"/>
        <v/>
      </c>
      <c r="Z187" s="57" t="str">
        <f>IF(Y187="","",IF(I$8="A",(RANK(Y187,Y$11:Y$355,1)+COUNTIF(Y$11:Y187,Y187)-1),(RANK(Y187,Y$11:Y$355)+COUNTIF(Y$11:Y187,Y187)-1)))</f>
        <v/>
      </c>
      <c r="AA187" s="242" t="str">
        <f>IF(L187="","",VLOOKUP($L187,classifications!C:I,7,FALSE))</f>
        <v>Significant Rural</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Cumbria</v>
      </c>
      <c r="AJ187" s="62">
        <f t="shared" si="56"/>
        <v>640</v>
      </c>
      <c r="AK187" s="57">
        <f>IF(AJ187="","",IF(I$8="A",(RANK(AJ187,AJ$11:AJ$355,1)+COUNTIF(AJ$11:AJ187,AJ187)-1),(RANK(AJ187,AJ$11:AJ$355)+COUNTIF(AJ$11:AJ187,AJ187)-1)))</f>
        <v>6</v>
      </c>
      <c r="AL187" s="52" t="str">
        <f t="shared" si="65"/>
        <v/>
      </c>
      <c r="AM187" s="31" t="str">
        <f t="shared" si="57"/>
        <v/>
      </c>
      <c r="AN187" s="31" t="str">
        <f t="shared" si="58"/>
        <v/>
      </c>
      <c r="AP187" s="61" t="str">
        <f>IF(L187="","",VLOOKUP($L187,classifications!$C:$E,3,FALSE))</f>
        <v>North West</v>
      </c>
      <c r="AQ187" s="62">
        <f t="shared" si="66"/>
        <v>640</v>
      </c>
      <c r="AR187" s="57">
        <f>IF(AQ187="","",IF(I$8="A",(RANK(AQ187,AQ$11:AQ$355,1)+COUNTIF(AQ$11:AQ187,AQ187)-1),(RANK(AQ187,AQ$11:AQ$355)+COUNTIF(AQ$11:AQ187,AQ187)-1)))</f>
        <v>18</v>
      </c>
      <c r="AS187" s="52" t="str">
        <f t="shared" si="67"/>
        <v/>
      </c>
      <c r="AT187" s="57" t="str">
        <f t="shared" si="59"/>
        <v/>
      </c>
      <c r="AU187" s="62" t="str">
        <f t="shared" si="60"/>
        <v/>
      </c>
      <c r="AX187" s="44">
        <f>HLOOKUP($AX$9&amp;$AX$10,Data!$A$1:$ZZ$2000,(MATCH($C187,Data!$A$1:$A$2000,0)),FALSE)</f>
        <v>498.5</v>
      </c>
      <c r="AY187" s="156"/>
      <c r="AZ187" s="44"/>
    </row>
    <row r="188" spans="1:52">
      <c r="A188" s="84" t="str">
        <f>$D$1&amp;178</f>
        <v>SD178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376.8</v>
      </c>
      <c r="G188" s="105"/>
      <c r="H188" s="60">
        <f t="shared" si="50"/>
        <v>376.8</v>
      </c>
      <c r="I188" s="112">
        <f>IF(H188="","",IF($I$8="A",(RANK(H188,H$11:H$355,1)+COUNTIF(H$11:H188,H188)-1),(RANK(H188,H$11:H$355)+COUNTIF(H$11:H188,H188)-1)))</f>
        <v>16</v>
      </c>
      <c r="J188" s="58"/>
      <c r="K188" s="51">
        <f t="shared" si="61"/>
        <v>178</v>
      </c>
      <c r="L188" s="59" t="str">
        <f t="shared" si="51"/>
        <v>Dartford</v>
      </c>
      <c r="M188" s="153">
        <f t="shared" si="52"/>
        <v>670.5</v>
      </c>
      <c r="N188" s="148">
        <f t="shared" si="62"/>
        <v>670.5</v>
      </c>
      <c r="O188" s="131" t="str">
        <f t="shared" si="53"/>
        <v/>
      </c>
      <c r="P188" s="131" t="str">
        <f t="shared" si="68"/>
        <v/>
      </c>
      <c r="Q188" s="131" t="str">
        <f t="shared" si="69"/>
        <v/>
      </c>
      <c r="R188" s="127">
        <f t="shared" si="70"/>
        <v>670.5</v>
      </c>
      <c r="S188" s="60" t="str">
        <f t="shared" si="63"/>
        <v/>
      </c>
      <c r="T188" s="228">
        <f>IF(L188="","",VLOOKUP(L188,classifications!C:K,9,FALSE))</f>
        <v>0</v>
      </c>
      <c r="U188" s="235" t="str">
        <f t="shared" si="54"/>
        <v/>
      </c>
      <c r="V188" s="236" t="str">
        <f>IF(U188="","",IF($I$8="A",(RANK(U188,U$11:U$355)+COUNTIF(U$11:U188,U188)-1),(RANK(U188,U$11:U$355,1)+COUNTIF(U$11:U188,U188)-1)))</f>
        <v/>
      </c>
      <c r="W188" s="237"/>
      <c r="X188" s="61" t="str">
        <f>IF(L188="","",VLOOKUP($L188,classifications!$C:$J,6,FALSE))</f>
        <v>Urban with Major Conurbation</v>
      </c>
      <c r="Y188" s="49" t="str">
        <f t="shared" si="55"/>
        <v/>
      </c>
      <c r="Z188" s="57" t="str">
        <f>IF(Y188="","",IF(I$8="A",(RANK(Y188,Y$11:Y$355,1)+COUNTIF(Y$11:Y188,Y188)-1),(RANK(Y188,Y$11:Y$355)+COUNTIF(Y$11:Y188,Y188)-1)))</f>
        <v/>
      </c>
      <c r="AA188" s="242" t="str">
        <f>IF(L188="","",VLOOKUP($L188,classifications!C:I,7,FALSE))</f>
        <v>Predominantly Urban</v>
      </c>
      <c r="AB188" s="236" t="str">
        <f t="shared" si="64"/>
        <v/>
      </c>
      <c r="AC188" s="236" t="str">
        <f>IF(AB188="","",IF($I$8="A",(RANK(AB188,AB$11:AB$355)+COUNTIF(AB$11:AB188,AB188)-1),(RANK(AB188,AB$11:AB$355,1)+COUNTIF(AB$11:AB188,AB188)-1)))</f>
        <v/>
      </c>
      <c r="AD188" s="236"/>
      <c r="AE188" s="51" t="str">
        <f t="shared" si="71"/>
        <v/>
      </c>
      <c r="AG188" s="143"/>
      <c r="AH188" s="52"/>
      <c r="AI188" s="61" t="str">
        <f>IF(L188="","",VLOOKUP($L188,classifications!$C:$J,8,FALSE))</f>
        <v>Kent</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South East</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376.8</v>
      </c>
      <c r="AY188" s="156"/>
      <c r="AZ188" s="44"/>
    </row>
    <row r="189" spans="1:52">
      <c r="A189" s="84" t="str">
        <f>$D$1&amp;179</f>
        <v>SD179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502.2</v>
      </c>
      <c r="G189" s="105"/>
      <c r="H189" s="60">
        <f t="shared" si="50"/>
        <v>502.2</v>
      </c>
      <c r="I189" s="112">
        <f>IF(H189="","",IF($I$8="A",(RANK(H189,H$11:H$355,1)+COUNTIF(H$11:H189,H189)-1),(RANK(H189,H$11:H$355)+COUNTIF(H$11:H189,H189)-1)))</f>
        <v>100</v>
      </c>
      <c r="J189" s="58"/>
      <c r="K189" s="51">
        <f t="shared" si="61"/>
        <v>179</v>
      </c>
      <c r="L189" s="59" t="str">
        <f t="shared" si="51"/>
        <v>Bassetlaw</v>
      </c>
      <c r="M189" s="153">
        <f t="shared" si="52"/>
        <v>678.2</v>
      </c>
      <c r="N189" s="148">
        <f t="shared" si="62"/>
        <v>678.2</v>
      </c>
      <c r="O189" s="131" t="str">
        <f t="shared" si="53"/>
        <v/>
      </c>
      <c r="P189" s="131" t="str">
        <f t="shared" si="68"/>
        <v/>
      </c>
      <c r="Q189" s="131" t="str">
        <f t="shared" si="69"/>
        <v/>
      </c>
      <c r="R189" s="127">
        <f t="shared" si="70"/>
        <v>678.2</v>
      </c>
      <c r="S189" s="60" t="str">
        <f t="shared" si="63"/>
        <v/>
      </c>
      <c r="T189" s="228">
        <f>IF(L189="","",VLOOKUP(L189,classifications!C:K,9,FALSE))</f>
        <v>0</v>
      </c>
      <c r="U189" s="235" t="str">
        <f t="shared" si="54"/>
        <v/>
      </c>
      <c r="V189" s="236" t="str">
        <f>IF(U189="","",IF($I$8="A",(RANK(U189,U$11:U$355)+COUNTIF(U$11:U189,U189)-1),(RANK(U189,U$11:U$355,1)+COUNTIF(U$11:U189,U189)-1)))</f>
        <v/>
      </c>
      <c r="W189" s="237"/>
      <c r="X189" s="61" t="str">
        <f>IF(L189="","",VLOOKUP($L189,classifications!$C:$J,6,FALSE))</f>
        <v xml:space="preserve">Largely Rural (rural including hub towns 50-79%) </v>
      </c>
      <c r="Y189" s="49" t="str">
        <f t="shared" si="55"/>
        <v/>
      </c>
      <c r="Z189" s="57" t="str">
        <f>IF(Y189="","",IF(I$8="A",(RANK(Y189,Y$11:Y$355,1)+COUNTIF(Y$11:Y189,Y189)-1),(RANK(Y189,Y$11:Y$355)+COUNTIF(Y$11:Y189,Y189)-1)))</f>
        <v/>
      </c>
      <c r="AA189" s="242" t="str">
        <f>IF(L189="","",VLOOKUP($L189,classifications!C:I,7,FALSE))</f>
        <v>Predominantly Rural</v>
      </c>
      <c r="AB189" s="236">
        <f t="shared" si="64"/>
        <v>678.2</v>
      </c>
      <c r="AC189" s="236">
        <f>IF(AB189="","",IF($I$8="A",(RANK(AB189,AB$11:AB$355)+COUNTIF(AB$11:AB189,AB189)-1),(RANK(AB189,AB$11:AB$355,1)+COUNTIF(AB$11:AB189,AB189)-1)))</f>
        <v>1</v>
      </c>
      <c r="AD189" s="236"/>
      <c r="AE189" s="51" t="str">
        <f t="shared" si="71"/>
        <v/>
      </c>
      <c r="AG189" s="143"/>
      <c r="AH189" s="52"/>
      <c r="AI189" s="61" t="str">
        <f>IF(L189="","",VLOOKUP($L189,classifications!$C:$J,8,FALSE))</f>
        <v>Nottinghamshire</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East Midlands</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f>HLOOKUP($AX$9&amp;$AX$10,Data!$A$1:$ZZ$2000,(MATCH($C189,Data!$A$1:$A$2000,0)),FALSE)</f>
        <v>502.2</v>
      </c>
      <c r="AY189" s="156"/>
      <c r="AZ189" s="44"/>
    </row>
    <row r="190" spans="1:52">
      <c r="A190" s="84" t="str">
        <f>$D$1&amp;180</f>
        <v>SD180</v>
      </c>
      <c r="B190" s="85">
        <f>IF(ISERROR(VLOOKUP(A190,classifications!A:C,3,FALSE)),0,VLOOKUP(A190,classifications!A:C,3,FALSE))</f>
        <v>0</v>
      </c>
      <c r="C190" s="31" t="s">
        <v>104</v>
      </c>
      <c r="D190" s="49" t="str">
        <f>VLOOKUP($C190,classifications!$C:$J,4,FALSE)</f>
        <v>SD</v>
      </c>
      <c r="E190" s="49">
        <f>VLOOKUP(C190,classifications!C:K,9,FALSE)</f>
        <v>0</v>
      </c>
      <c r="F190" s="59">
        <f t="shared" si="49"/>
        <v>461</v>
      </c>
      <c r="G190" s="105"/>
      <c r="H190" s="60">
        <f t="shared" si="50"/>
        <v>461</v>
      </c>
      <c r="I190" s="112">
        <f>IF(H190="","",IF($I$8="A",(RANK(H190,H$11:H$355,1)+COUNTIF(H$11:H190,H190)-1),(RANK(H190,H$11:H$355)+COUNTIF(H$11:H190,H190)-1)))</f>
        <v>66</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IF(U190="","",IF($I$8="A",(RANK(U190,U$11:U$355)+COUNTIF(U$11:U190,U190)-1),(RANK(U190,U$11:U$355,1)+COUNTIF(U$11:U190,U190)-1)))</f>
        <v/>
      </c>
      <c r="W190" s="237"/>
      <c r="X190" s="61" t="str">
        <f>IF(L190="","",VLOOKUP($L190,classifications!$C:$J,6,FALSE))</f>
        <v/>
      </c>
      <c r="Y190" s="49" t="str">
        <f t="shared" si="55"/>
        <v/>
      </c>
      <c r="Z190" s="57" t="str">
        <f>IF(Y190="","",IF(I$8="A",(RANK(Y190,Y$11:Y$355,1)+COUNTIF(Y$11:Y190,Y190)-1),(RANK(Y190,Y$11:Y$355)+COUNTIF(Y$11:Y190,Y190)-1)))</f>
        <v/>
      </c>
      <c r="AA190" s="242" t="str">
        <f>IF(L190="","",VLOOKUP($L190,classifications!C:I,7,FALSE))</f>
        <v/>
      </c>
      <c r="AB190" s="236" t="str">
        <f t="shared" si="64"/>
        <v/>
      </c>
      <c r="AC190" s="236" t="str">
        <f>IF(AB190="","",IF($I$8="A",(RANK(AB190,AB$11:AB$355)+COUNTIF(AB$11:AB190,AB190)-1),(RANK(AB190,AB$11:AB$355,1)+COUNTIF(AB$11:AB190,AB190)-1)))</f>
        <v/>
      </c>
      <c r="AD190" s="236"/>
      <c r="AE190" s="51" t="str">
        <f t="shared" si="71"/>
        <v/>
      </c>
      <c r="AG190" s="143"/>
      <c r="AH190" s="52"/>
      <c r="AI190" s="61" t="str">
        <f>IF(L190="","",VLOOKUP($L190,classifications!$C:$J,8,FALSE))</f>
        <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461</v>
      </c>
      <c r="AY190" s="156"/>
      <c r="AZ190" s="44"/>
    </row>
    <row r="191" spans="1:52">
      <c r="A191" s="84" t="str">
        <f>$D$1&amp;181</f>
        <v>SD181</v>
      </c>
      <c r="B191" s="85">
        <f>IF(ISERROR(VLOOKUP(A191,classifications!A:C,3,FALSE)),0,VLOOKUP(A191,classifications!A:C,3,FALSE))</f>
        <v>0</v>
      </c>
      <c r="C191" s="31" t="s">
        <v>274</v>
      </c>
      <c r="D191" s="49" t="str">
        <f>VLOOKUP($C191,classifications!$C:$J,4,FALSE)</f>
        <v>UA</v>
      </c>
      <c r="E191" s="49">
        <f>VLOOKUP(C191,classifications!C:K,9,FALSE)</f>
        <v>0</v>
      </c>
      <c r="F191" s="59">
        <f t="shared" si="49"/>
        <v>714.9</v>
      </c>
      <c r="G191" s="105"/>
      <c r="H191" s="60" t="str">
        <f t="shared" si="50"/>
        <v/>
      </c>
      <c r="I191" s="112" t="str">
        <f>IF(H191="","",IF($I$8="A",(RANK(H191,H$11:H$355,1)+COUNTIF(H$11:H191,H191)-1),(RANK(H191,H$11:H$355)+COUNTIF(H$11:H191,H191)-1)))</f>
        <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714.9</v>
      </c>
      <c r="AY191" s="156"/>
      <c r="AZ191" s="44"/>
    </row>
    <row r="192" spans="1:52">
      <c r="A192" s="84" t="str">
        <f>$D$1&amp;182</f>
        <v>SD182</v>
      </c>
      <c r="B192" s="85">
        <f>IF(ISERROR(VLOOKUP(A192,classifications!A:C,3,FALSE)),0,VLOOKUP(A192,classifications!A:C,3,FALSE))</f>
        <v>0</v>
      </c>
      <c r="C192" s="31" t="s">
        <v>275</v>
      </c>
      <c r="D192" s="49" t="str">
        <f>VLOOKUP($C192,classifications!$C:$J,4,FALSE)</f>
        <v>UA</v>
      </c>
      <c r="E192" s="49">
        <f>VLOOKUP(C192,classifications!C:K,9,FALSE)</f>
        <v>0</v>
      </c>
      <c r="F192" s="59">
        <f t="shared" si="49"/>
        <v>463.8</v>
      </c>
      <c r="G192" s="105"/>
      <c r="H192" s="60" t="str">
        <f t="shared" si="50"/>
        <v/>
      </c>
      <c r="I192" s="112" t="str">
        <f>IF(H192="","",IF($I$8="A",(RANK(H192,H$11:H$355,1)+COUNTIF(H$11:H192,H192)-1),(RANK(H192,H$11:H$355)+COUNTIF(H$11:H192,H192)-1)))</f>
        <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463.8</v>
      </c>
      <c r="AY192" s="156"/>
      <c r="AZ192" s="44"/>
    </row>
    <row r="193" spans="1:52">
      <c r="A193" s="84" t="str">
        <f>$D$1&amp;183</f>
        <v>SD183</v>
      </c>
      <c r="B193" s="85">
        <f>IF(ISERROR(VLOOKUP(A193,classifications!A:C,3,FALSE)),0,VLOOKUP(A193,classifications!A:C,3,FALSE))</f>
        <v>0</v>
      </c>
      <c r="C193" s="31" t="s">
        <v>105</v>
      </c>
      <c r="D193" s="49" t="str">
        <f>VLOOKUP($C193,classifications!$C:$J,4,FALSE)</f>
        <v>SD</v>
      </c>
      <c r="E193" s="49">
        <f>VLOOKUP(C193,classifications!C:K,9,FALSE)</f>
        <v>0</v>
      </c>
      <c r="F193" s="59">
        <f t="shared" si="49"/>
        <v>426.5</v>
      </c>
      <c r="G193" s="105"/>
      <c r="H193" s="60">
        <f t="shared" si="50"/>
        <v>426.5</v>
      </c>
      <c r="I193" s="112">
        <f>IF(H193="","",IF($I$8="A",(RANK(H193,H$11:H$355,1)+COUNTIF(H$11:H193,H193)-1),(RANK(H193,H$11:H$355)+COUNTIF(H$11:H193,H193)-1)))</f>
        <v>39</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426.5</v>
      </c>
      <c r="AY193" s="156"/>
      <c r="AZ193" s="44"/>
    </row>
    <row r="194" spans="1:52">
      <c r="A194" s="84" t="str">
        <f>$D$1&amp;184</f>
        <v>SD184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504.7</v>
      </c>
      <c r="G194" s="105"/>
      <c r="H194" s="60">
        <f t="shared" si="50"/>
        <v>504.7</v>
      </c>
      <c r="I194" s="112">
        <f>IF(H194="","",IF($I$8="A",(RANK(H194,H$11:H$355,1)+COUNTIF(H$11:H194,H194)-1),(RANK(H194,H$11:H$355)+COUNTIF(H$11:H194,H194)-1)))</f>
        <v>103</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504.7</v>
      </c>
      <c r="AY194" s="156"/>
      <c r="AZ194" s="44"/>
    </row>
    <row r="195" spans="1:52">
      <c r="A195" s="84" t="str">
        <f>$D$1&amp;185</f>
        <v>SD185</v>
      </c>
      <c r="B195" s="85">
        <f>IF(ISERROR(VLOOKUP(A195,classifications!A:C,3,FALSE)),0,VLOOKUP(A195,classifications!A:C,3,FALSE))</f>
        <v>0</v>
      </c>
      <c r="C195" s="31" t="s">
        <v>345</v>
      </c>
      <c r="D195" s="49" t="str">
        <f>VLOOKUP($C195,classifications!$C:$J,4,FALSE)</f>
        <v>SD</v>
      </c>
      <c r="E195" s="49">
        <f>VLOOKUP(C195,classifications!C:K,9,FALSE)</f>
        <v>0</v>
      </c>
      <c r="F195" s="59">
        <f t="shared" si="49"/>
        <v>599.6</v>
      </c>
      <c r="G195" s="105"/>
      <c r="H195" s="60">
        <f t="shared" si="50"/>
        <v>599.6</v>
      </c>
      <c r="I195" s="112">
        <f>IF(H195="","",IF($I$8="A",(RANK(H195,H$11:H$355,1)+COUNTIF(H$11:H195,H195)-1),(RANK(H195,H$11:H$355)+COUNTIF(H$11:H195,H195)-1)))</f>
        <v>167</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599.6</v>
      </c>
      <c r="AY195" s="156"/>
      <c r="AZ195" s="44"/>
    </row>
    <row r="196" spans="1:52">
      <c r="A196" s="84" t="str">
        <f>$D$1&amp;186</f>
        <v>SD186</v>
      </c>
      <c r="B196" s="85">
        <f>IF(ISERROR(VLOOKUP(A196,classifications!A:C,3,FALSE)),0,VLOOKUP(A196,classifications!A:C,3,FALSE))</f>
        <v>0</v>
      </c>
      <c r="C196" s="31" t="s">
        <v>237</v>
      </c>
      <c r="D196" s="49" t="str">
        <f>VLOOKUP($C196,classifications!$C:$J,4,FALSE)</f>
        <v>MD</v>
      </c>
      <c r="E196" s="49">
        <f>VLOOKUP(C196,classifications!C:K,9,FALSE)</f>
        <v>0</v>
      </c>
      <c r="F196" s="59">
        <f t="shared" si="49"/>
        <v>499.6</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499.6</v>
      </c>
      <c r="AY196" s="156"/>
      <c r="AZ196" s="44"/>
    </row>
    <row r="197" spans="1:52">
      <c r="A197" s="84" t="str">
        <f>$D$1&amp;187</f>
        <v>SD187</v>
      </c>
      <c r="B197" s="85">
        <f>IF(ISERROR(VLOOKUP(A197,classifications!A:C,3,FALSE)),0,VLOOKUP(A197,classifications!A:C,3,FALSE))</f>
        <v>0</v>
      </c>
      <c r="C197" s="31" t="s">
        <v>107</v>
      </c>
      <c r="D197" s="49" t="str">
        <f>VLOOKUP($C197,classifications!$C:$J,4,FALSE)</f>
        <v>SD</v>
      </c>
      <c r="E197" s="49">
        <f>VLOOKUP(C197,classifications!C:K,9,FALSE)</f>
        <v>0</v>
      </c>
      <c r="F197" s="59">
        <f t="shared" si="49"/>
        <v>495.7</v>
      </c>
      <c r="G197" s="105"/>
      <c r="H197" s="60">
        <f t="shared" si="50"/>
        <v>495.7</v>
      </c>
      <c r="I197" s="112">
        <f>IF(H197="","",IF($I$8="A",(RANK(H197,H$11:H$355,1)+COUNTIF(H$11:H197,H197)-1),(RANK(H197,H$11:H$355)+COUNTIF(H$11:H197,H197)-1)))</f>
        <v>95</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495.7</v>
      </c>
      <c r="AY197" s="156"/>
      <c r="AZ197" s="44"/>
    </row>
    <row r="198" spans="1:52">
      <c r="A198" s="84" t="str">
        <f>$D$1&amp;188</f>
        <v>SD188</v>
      </c>
      <c r="B198" s="85">
        <f>IF(ISERROR(VLOOKUP(A198,classifications!A:C,3,FALSE)),0,VLOOKUP(A198,classifications!A:C,3,FALSE))</f>
        <v>0</v>
      </c>
      <c r="C198" s="31" t="s">
        <v>215</v>
      </c>
      <c r="D198" s="49" t="str">
        <f>VLOOKUP($C198,classifications!$C:$J,4,FALSE)</f>
        <v>L</v>
      </c>
      <c r="E198" s="49">
        <f>VLOOKUP(C198,classifications!C:K,9,FALSE)</f>
        <v>0</v>
      </c>
      <c r="F198" s="59">
        <f t="shared" si="49"/>
        <v>803.7</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803.7</v>
      </c>
      <c r="AY198" s="156"/>
      <c r="AZ198" s="44"/>
    </row>
    <row r="199" spans="1:52">
      <c r="A199" s="84" t="str">
        <f>$D$1&amp;189</f>
        <v>SD189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547.29999999999995</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547.29999999999995</v>
      </c>
      <c r="AY199" s="156"/>
      <c r="AZ199" s="44"/>
    </row>
    <row r="200" spans="1:52">
      <c r="A200" s="84" t="str">
        <f>$D$1&amp;190</f>
        <v>SD190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423.1</v>
      </c>
      <c r="G200" s="105"/>
      <c r="H200" s="60">
        <f t="shared" si="50"/>
        <v>423.1</v>
      </c>
      <c r="I200" s="112">
        <f>IF(H200="","",IF($I$8="A",(RANK(H200,H$11:H$355,1)+COUNTIF(H$11:H200,H200)-1),(RANK(H200,H$11:H$355)+COUNTIF(H$11:H200,H200)-1)))</f>
        <v>33</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423.1</v>
      </c>
      <c r="AY200" s="156"/>
      <c r="AZ200" s="44"/>
    </row>
    <row r="201" spans="1:52">
      <c r="A201" s="84" t="str">
        <f>$D$1&amp;191</f>
        <v>SD191</v>
      </c>
      <c r="B201" s="85">
        <f>IF(ISERROR(VLOOKUP(A201,classifications!A:C,3,FALSE)),0,VLOOKUP(A201,classifications!A:C,3,FALSE))</f>
        <v>0</v>
      </c>
      <c r="C201" s="31" t="s">
        <v>110</v>
      </c>
      <c r="D201" s="49" t="str">
        <f>VLOOKUP($C201,classifications!$C:$J,4,FALSE)</f>
        <v>SD</v>
      </c>
      <c r="E201" s="49">
        <f>VLOOKUP(C201,classifications!C:K,9,FALSE)</f>
        <v>0</v>
      </c>
      <c r="F201" s="59">
        <f t="shared" si="49"/>
        <v>539.20000000000005</v>
      </c>
      <c r="G201" s="105"/>
      <c r="H201" s="60">
        <f t="shared" si="50"/>
        <v>539.20000000000005</v>
      </c>
      <c r="I201" s="112">
        <f>IF(H201="","",IF($I$8="A",(RANK(H201,H$11:H$355,1)+COUNTIF(H$11:H201,H201)-1),(RANK(H201,H$11:H$355)+COUNTIF(H$11:H201,H201)-1)))</f>
        <v>137</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539.20000000000005</v>
      </c>
      <c r="AY201" s="156"/>
      <c r="AZ201" s="44"/>
    </row>
    <row r="202" spans="1:52">
      <c r="A202" s="84" t="str">
        <f>$D$1&amp;192</f>
        <v>SD192</v>
      </c>
      <c r="B202" s="85">
        <f>IF(ISERROR(VLOOKUP(A202,classifications!A:C,3,FALSE)),0,VLOOKUP(A202,classifications!A:C,3,FALSE))</f>
        <v>0</v>
      </c>
      <c r="C202" s="31" t="s">
        <v>276</v>
      </c>
      <c r="D202" s="49" t="str">
        <f>VLOOKUP($C202,classifications!$C:$J,4,FALSE)</f>
        <v>UA</v>
      </c>
      <c r="E202" s="49">
        <f>VLOOKUP(C202,classifications!C:K,9,FALSE)</f>
        <v>0</v>
      </c>
      <c r="F202" s="59">
        <f t="shared" si="49"/>
        <v>643.6</v>
      </c>
      <c r="G202" s="105"/>
      <c r="H202" s="60" t="str">
        <f t="shared" si="50"/>
        <v/>
      </c>
      <c r="I202" s="112" t="str">
        <f>IF(H202="","",IF($I$8="A",(RANK(H202,H$11:H$355,1)+COUNTIF(H$11:H202,H202)-1),(RANK(H202,H$11:H$355)+COUNTIF(H$11:H202,H202)-1)))</f>
        <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643.6</v>
      </c>
      <c r="AY202" s="156"/>
      <c r="AZ202" s="44"/>
    </row>
    <row r="203" spans="1:52">
      <c r="A203" s="84" t="str">
        <f>$D$1&amp;193</f>
        <v>SD193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378.2</v>
      </c>
      <c r="G203" s="105"/>
      <c r="H203" s="60">
        <f t="shared" ref="H203:H266" si="73">IF(D203=$D$1,HLOOKUP($D$6,$AX$10:$ZZ$355,ROW()-9,FALSE),"")</f>
        <v>378.2</v>
      </c>
      <c r="I203" s="112">
        <f>IF(H203="","",IF($I$8="A",(RANK(H203,H$11:H$355,1)+COUNTIF(H$11:H203,H203)-1),(RANK(H203,H$11:H$355)+COUNTIF(H$11:H203,H203)-1)))</f>
        <v>17</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378.2</v>
      </c>
      <c r="AY203" s="156"/>
      <c r="AZ203" s="44"/>
    </row>
    <row r="204" spans="1:52">
      <c r="A204" s="84" t="str">
        <f>$D$1&amp;194</f>
        <v>SD194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554.9</v>
      </c>
      <c r="G204" s="105"/>
      <c r="H204" s="60">
        <f t="shared" si="73"/>
        <v>554.9</v>
      </c>
      <c r="I204" s="112">
        <f>IF(H204="","",IF($I$8="A",(RANK(H204,H$11:H$355,1)+COUNTIF(H$11:H204,H204)-1),(RANK(H204,H$11:H$355)+COUNTIF(H$11:H204,H204)-1)))</f>
        <v>147</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554.9</v>
      </c>
      <c r="AY204" s="156"/>
      <c r="AZ204" s="44"/>
    </row>
    <row r="205" spans="1:52">
      <c r="A205" s="84" t="str">
        <f>$D$1&amp;195</f>
        <v>SD195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534.9</v>
      </c>
      <c r="G205" s="105"/>
      <c r="H205" s="60" t="str">
        <f t="shared" si="73"/>
        <v/>
      </c>
      <c r="I205" s="112" t="str">
        <f>IF(H205="","",IF($I$8="A",(RANK(H205,H$11:H$355,1)+COUNTIF(H$11:H205,H205)-1),(RANK(H205,H$11:H$355)+COUNTIF(H$11:H205,H205)-1)))</f>
        <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534.9</v>
      </c>
      <c r="AY205" s="156"/>
      <c r="AZ205" s="44"/>
    </row>
    <row r="206" spans="1:52">
      <c r="A206" s="84" t="str">
        <f>$D$1&amp;196</f>
        <v>SD196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477.6</v>
      </c>
      <c r="G206" s="105"/>
      <c r="H206" s="60">
        <f t="shared" si="73"/>
        <v>477.6</v>
      </c>
      <c r="I206" s="112">
        <f>IF(H206="","",IF($I$8="A",(RANK(H206,H$11:H$355,1)+COUNTIF(H$11:H206,H206)-1),(RANK(H206,H$11:H$355)+COUNTIF(H$11:H206,H206)-1)))</f>
        <v>80</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477.6</v>
      </c>
      <c r="AY206" s="156"/>
      <c r="AZ206" s="44"/>
    </row>
    <row r="207" spans="1:52">
      <c r="A207" s="84" t="str">
        <f>$D$1&amp;197</f>
        <v>SD197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405.7</v>
      </c>
      <c r="G207" s="105"/>
      <c r="H207" s="60" t="str">
        <f t="shared" si="73"/>
        <v/>
      </c>
      <c r="I207" s="112" t="str">
        <f>IF(H207="","",IF($I$8="A",(RANK(H207,H$11:H$355,1)+COUNTIF(H$11:H207,H207)-1),(RANK(H207,H$11:H$355)+COUNTIF(H$11:H207,H207)-1)))</f>
        <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405.7</v>
      </c>
      <c r="AY207" s="156"/>
      <c r="AZ207" s="44"/>
    </row>
    <row r="208" spans="1:52">
      <c r="A208" s="84" t="str">
        <f>$D$1&amp;198</f>
        <v>SD198</v>
      </c>
      <c r="B208" s="85">
        <f>IF(ISERROR(VLOOKUP(A208,classifications!A:C,3,FALSE)),0,VLOOKUP(A208,classifications!A:C,3,FALSE))</f>
        <v>0</v>
      </c>
      <c r="C208" s="31" t="s">
        <v>238</v>
      </c>
      <c r="D208" s="49" t="str">
        <f>VLOOKUP($C208,classifications!$C:$J,4,FALSE)</f>
        <v>MD</v>
      </c>
      <c r="E208" s="49">
        <f>VLOOKUP(C208,classifications!C:K,9,FALSE)</f>
        <v>0</v>
      </c>
      <c r="F208" s="59">
        <f t="shared" si="72"/>
        <v>593.79999999999995</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593.79999999999995</v>
      </c>
      <c r="AY208" s="156"/>
      <c r="AZ208" s="44"/>
    </row>
    <row r="209" spans="1:52">
      <c r="A209" s="84" t="str">
        <f>$D$1&amp;199</f>
        <v>SD199</v>
      </c>
      <c r="B209" s="85">
        <f>IF(ISERROR(VLOOKUP(A209,classifications!A:C,3,FALSE)),0,VLOOKUP(A209,classifications!A:C,3,FALSE))</f>
        <v>0</v>
      </c>
      <c r="C209" s="31" t="s">
        <v>114</v>
      </c>
      <c r="D209" s="49" t="str">
        <f>VLOOKUP($C209,classifications!$C:$J,4,FALSE)</f>
        <v>SD</v>
      </c>
      <c r="E209" s="49">
        <f>VLOOKUP(C209,classifications!C:K,9,FALSE)</f>
        <v>0</v>
      </c>
      <c r="F209" s="59">
        <f t="shared" si="72"/>
        <v>564.9</v>
      </c>
      <c r="G209" s="105"/>
      <c r="H209" s="60">
        <f t="shared" si="73"/>
        <v>564.9</v>
      </c>
      <c r="I209" s="112">
        <f>IF(H209="","",IF($I$8="A",(RANK(H209,H$11:H$355,1)+COUNTIF(H$11:H209,H209)-1),(RANK(H209,H$11:H$355)+COUNTIF(H$11:H209,H209)-1)))</f>
        <v>154</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564.9</v>
      </c>
      <c r="AY209" s="156"/>
      <c r="AZ209" s="44"/>
    </row>
    <row r="210" spans="1:52">
      <c r="A210" s="84" t="str">
        <f>$D$1&amp;200</f>
        <v>SD200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539</v>
      </c>
      <c r="G210" s="105"/>
      <c r="H210" s="60">
        <f t="shared" si="73"/>
        <v>539</v>
      </c>
      <c r="I210" s="112">
        <f>IF(H210="","",IF($I$8="A",(RANK(H210,H$11:H$355,1)+COUNTIF(H$11:H210,H210)-1),(RANK(H210,H$11:H$355)+COUNTIF(H$11:H210,H210)-1)))</f>
        <v>136</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539</v>
      </c>
      <c r="AY210" s="156"/>
      <c r="AZ210" s="44"/>
    </row>
    <row r="211" spans="1:52">
      <c r="A211" s="84" t="str">
        <f>$D$1&amp;201</f>
        <v>SD201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590.6</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590.6</v>
      </c>
      <c r="AY211" s="156"/>
      <c r="AZ211" s="44"/>
    </row>
    <row r="212" spans="1:52">
      <c r="A212" s="84" t="str">
        <f>$D$1&amp;202</f>
        <v>SD202</v>
      </c>
      <c r="B212" s="85">
        <f>IF(ISERROR(VLOOKUP(A212,classifications!A:C,3,FALSE)),0,VLOOKUP(A212,classifications!A:C,3,FALSE))</f>
        <v>0</v>
      </c>
      <c r="C212" s="31" t="s">
        <v>116</v>
      </c>
      <c r="D212" s="49" t="str">
        <f>VLOOKUP($C212,classifications!$C:$J,4,FALSE)</f>
        <v>SD</v>
      </c>
      <c r="E212" s="49">
        <f>VLOOKUP(C212,classifications!C:K,9,FALSE)</f>
        <v>0</v>
      </c>
      <c r="F212" s="59">
        <f t="shared" si="72"/>
        <v>539.6</v>
      </c>
      <c r="G212" s="105"/>
      <c r="H212" s="60">
        <f t="shared" si="73"/>
        <v>539.6</v>
      </c>
      <c r="I212" s="112">
        <f>IF(H212="","",IF($I$8="A",(RANK(H212,H$11:H$355,1)+COUNTIF(H$11:H212,H212)-1),(RANK(H212,H$11:H$355)+COUNTIF(H$11:H212,H212)-1)))</f>
        <v>138</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539.6</v>
      </c>
      <c r="AY212" s="156"/>
      <c r="AZ212" s="44"/>
    </row>
    <row r="213" spans="1:52">
      <c r="A213" s="84" t="str">
        <f>$D$1&amp;203</f>
        <v>SD203</v>
      </c>
      <c r="B213" s="85">
        <f>IF(ISERROR(VLOOKUP(A213,classifications!A:C,3,FALSE)),0,VLOOKUP(A213,classifications!A:C,3,FALSE))</f>
        <v>0</v>
      </c>
      <c r="C213" s="31" t="s">
        <v>321</v>
      </c>
      <c r="D213" s="49" t="str">
        <f>VLOOKUP($C213,classifications!$C:$J,4,FALSE)</f>
        <v>SC</v>
      </c>
      <c r="E213" s="49">
        <f>VLOOKUP(C213,classifications!C:K,9,FALSE)</f>
        <v>0</v>
      </c>
      <c r="F213" s="59">
        <f t="shared" si="72"/>
        <v>571.4</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571.4</v>
      </c>
      <c r="AY213" s="156"/>
      <c r="AZ213" s="44"/>
    </row>
    <row r="214" spans="1:52">
      <c r="A214" s="84" t="str">
        <f>$D$1&amp;204</f>
        <v>SD204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676.9</v>
      </c>
      <c r="G214" s="105"/>
      <c r="H214" s="60" t="str">
        <f t="shared" si="73"/>
        <v/>
      </c>
      <c r="I214" s="112" t="str">
        <f>IF(H214="","",IF($I$8="A",(RANK(H214,H$11:H$355,1)+COUNTIF(H$11:H214,H214)-1),(RANK(H214,H$11:H$355)+COUNTIF(H$11:H214,H214)-1)))</f>
        <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676.9</v>
      </c>
      <c r="AY214" s="156"/>
      <c r="AZ214" s="44"/>
    </row>
    <row r="215" spans="1:52">
      <c r="A215" s="84" t="str">
        <f>$D$1&amp;205</f>
        <v>SD205</v>
      </c>
      <c r="B215" s="85">
        <f>IF(ISERROR(VLOOKUP(A215,classifications!A:C,3,FALSE)),0,VLOOKUP(A215,classifications!A:C,3,FALSE))</f>
        <v>0</v>
      </c>
      <c r="C215" s="31" t="s">
        <v>117</v>
      </c>
      <c r="D215" s="49" t="str">
        <f>VLOOKUP($C215,classifications!$C:$J,4,FALSE)</f>
        <v>SD</v>
      </c>
      <c r="E215" s="49">
        <f>VLOOKUP(C215,classifications!C:K,9,FALSE)</f>
        <v>0</v>
      </c>
      <c r="F215" s="59">
        <f t="shared" si="72"/>
        <v>439.9</v>
      </c>
      <c r="G215" s="105"/>
      <c r="H215" s="60">
        <f t="shared" si="73"/>
        <v>439.9</v>
      </c>
      <c r="I215" s="112">
        <f>IF(H215="","",IF($I$8="A",(RANK(H215,H$11:H$355,1)+COUNTIF(H$11:H215,H215)-1),(RANK(H215,H$11:H$355)+COUNTIF(H$11:H215,H215)-1)))</f>
        <v>50</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439.9</v>
      </c>
      <c r="AY215" s="156"/>
      <c r="AZ215" s="44"/>
    </row>
    <row r="216" spans="1:52">
      <c r="A216" s="84" t="str">
        <f>$D$1&amp;206</f>
        <v>SD206</v>
      </c>
      <c r="B216" s="85">
        <f>IF(ISERROR(VLOOKUP(A216,classifications!A:C,3,FALSE)),0,VLOOKUP(A216,classifications!A:C,3,FALSE))</f>
        <v>0</v>
      </c>
      <c r="C216" s="31" t="s">
        <v>279</v>
      </c>
      <c r="D216" s="49" t="str">
        <f>VLOOKUP($C216,classifications!$C:$J,4,FALSE)</f>
        <v>UA</v>
      </c>
      <c r="E216" s="49">
        <f>VLOOKUP(C216,classifications!C:K,9,FALSE)</f>
        <v>0</v>
      </c>
      <c r="F216" s="59">
        <f t="shared" si="72"/>
        <v>621.6</v>
      </c>
      <c r="G216" s="105"/>
      <c r="H216" s="60" t="str">
        <f t="shared" si="73"/>
        <v/>
      </c>
      <c r="I216" s="112" t="str">
        <f>IF(H216="","",IF($I$8="A",(RANK(H216,H$11:H$355,1)+COUNTIF(H$11:H216,H216)-1),(RANK(H216,H$11:H$355)+COUNTIF(H$11:H216,H216)-1)))</f>
        <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621.6</v>
      </c>
      <c r="AY216" s="156"/>
      <c r="AZ216" s="44"/>
    </row>
    <row r="217" spans="1:52">
      <c r="A217" s="84" t="str">
        <f>$D$1&amp;207</f>
        <v>SD207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637.79999999999995</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637.79999999999995</v>
      </c>
      <c r="AY217" s="156"/>
      <c r="AZ217" s="44"/>
    </row>
    <row r="218" spans="1:52">
      <c r="A218" s="84" t="str">
        <f>$D$1&amp;208</f>
        <v>SD208</v>
      </c>
      <c r="B218" s="85">
        <f>IF(ISERROR(VLOOKUP(A218,classifications!A:C,3,FALSE)),0,VLOOKUP(A218,classifications!A:C,3,FALSE))</f>
        <v>0</v>
      </c>
      <c r="C218" s="31" t="s">
        <v>346</v>
      </c>
      <c r="D218" s="49" t="str">
        <f>VLOOKUP($C218,classifications!$C:$J,4,FALSE)</f>
        <v>SD</v>
      </c>
      <c r="E218" s="49">
        <f>VLOOKUP(C218,classifications!C:K,9,FALSE)</f>
        <v>0</v>
      </c>
      <c r="F218" s="59">
        <f t="shared" si="72"/>
        <v>559.20000000000005</v>
      </c>
      <c r="G218" s="105"/>
      <c r="H218" s="60">
        <f t="shared" si="73"/>
        <v>559.20000000000005</v>
      </c>
      <c r="I218" s="112">
        <f>IF(H218="","",IF($I$8="A",(RANK(H218,H$11:H$355,1)+COUNTIF(H$11:H218,H218)-1),(RANK(H218,H$11:H$355)+COUNTIF(H$11:H218,H218)-1)))</f>
        <v>150</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559.20000000000005</v>
      </c>
      <c r="AY218" s="156"/>
      <c r="AZ218" s="44"/>
    </row>
    <row r="219" spans="1:52">
      <c r="A219" s="84" t="str">
        <f>$D$1&amp;209</f>
        <v>SD209</v>
      </c>
      <c r="B219" s="85">
        <f>IF(ISERROR(VLOOKUP(A219,classifications!A:C,3,FALSE)),0,VLOOKUP(A219,classifications!A:C,3,FALSE))</f>
        <v>0</v>
      </c>
      <c r="C219" s="31" t="s">
        <v>347</v>
      </c>
      <c r="D219" s="49" t="str">
        <f>VLOOKUP($C219,classifications!$C:$J,4,FALSE)</f>
        <v>SD</v>
      </c>
      <c r="E219" s="49">
        <f>VLOOKUP(C219,classifications!C:K,9,FALSE)</f>
        <v>0</v>
      </c>
      <c r="F219" s="59">
        <f t="shared" si="72"/>
        <v>466.3</v>
      </c>
      <c r="G219" s="105"/>
      <c r="H219" s="60">
        <f t="shared" si="73"/>
        <v>466.3</v>
      </c>
      <c r="I219" s="112">
        <f>IF(H219="","",IF($I$8="A",(RANK(H219,H$11:H$355,1)+COUNTIF(H$11:H219,H219)-1),(RANK(H219,H$11:H$355)+COUNTIF(H$11:H219,H219)-1)))</f>
        <v>72</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466.3</v>
      </c>
      <c r="AY219" s="156"/>
      <c r="AZ219" s="44"/>
    </row>
    <row r="220" spans="1:52">
      <c r="A220" s="84" t="str">
        <f>$D$1&amp;210</f>
        <v>SD210</v>
      </c>
      <c r="B220" s="85">
        <f>IF(ISERROR(VLOOKUP(A220,classifications!A:C,3,FALSE)),0,VLOOKUP(A220,classifications!A:C,3,FALSE))</f>
        <v>0</v>
      </c>
      <c r="C220" s="31" t="s">
        <v>239</v>
      </c>
      <c r="D220" s="49" t="str">
        <f>VLOOKUP($C220,classifications!$C:$J,4,FALSE)</f>
        <v>MD</v>
      </c>
      <c r="E220" s="49">
        <f>VLOOKUP(C220,classifications!C:K,9,FALSE)</f>
        <v>0</v>
      </c>
      <c r="F220" s="59">
        <f t="shared" si="72"/>
        <v>505.8</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505.8</v>
      </c>
      <c r="AY220" s="156"/>
      <c r="AZ220" s="44"/>
    </row>
    <row r="221" spans="1:52">
      <c r="A221" s="84" t="str">
        <f>$D$1&amp;211</f>
        <v>SD211</v>
      </c>
      <c r="B221" s="85">
        <f>IF(ISERROR(VLOOKUP(A221,classifications!A:C,3,FALSE)),0,VLOOKUP(A221,classifications!A:C,3,FALSE))</f>
        <v>0</v>
      </c>
      <c r="C221" s="31" t="s">
        <v>118</v>
      </c>
      <c r="D221" s="49" t="str">
        <f>VLOOKUP($C221,classifications!$C:$J,4,FALSE)</f>
        <v>SD</v>
      </c>
      <c r="E221" s="49">
        <f>VLOOKUP(C221,classifications!C:K,9,FALSE)</f>
        <v>0</v>
      </c>
      <c r="F221" s="59">
        <f t="shared" si="72"/>
        <v>350</v>
      </c>
      <c r="G221" s="105"/>
      <c r="H221" s="60">
        <f t="shared" si="73"/>
        <v>350</v>
      </c>
      <c r="I221" s="112">
        <f>IF(H221="","",IF($I$8="A",(RANK(H221,H$11:H$355,1)+COUNTIF(H$11:H221,H221)-1),(RANK(H221,H$11:H$355)+COUNTIF(H$11:H221,H221)-1)))</f>
        <v>9</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350</v>
      </c>
      <c r="AY221" s="156"/>
      <c r="AZ221" s="44"/>
    </row>
    <row r="222" spans="1:52">
      <c r="A222" s="84" t="str">
        <f>$D$1&amp;212</f>
        <v>SD212</v>
      </c>
      <c r="B222" s="85">
        <f>IF(ISERROR(VLOOKUP(A222,classifications!A:C,3,FALSE)),0,VLOOKUP(A222,classifications!A:C,3,FALSE))</f>
        <v>0</v>
      </c>
      <c r="C222" s="31" t="s">
        <v>324</v>
      </c>
      <c r="D222" s="49" t="str">
        <f>VLOOKUP($C222,classifications!$C:$J,4,FALSE)</f>
        <v>SC</v>
      </c>
      <c r="E222" s="49">
        <f>VLOOKUP(C222,classifications!C:K,9,FALSE)</f>
        <v>0</v>
      </c>
      <c r="F222" s="59">
        <f t="shared" si="72"/>
        <v>414.4</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414.4</v>
      </c>
      <c r="AY222" s="156"/>
      <c r="AZ222" s="44"/>
    </row>
    <row r="223" spans="1:52">
      <c r="A223" s="84" t="str">
        <f>$D$1&amp;213</f>
        <v>SD213</v>
      </c>
      <c r="B223" s="85">
        <f>IF(ISERROR(VLOOKUP(A223,classifications!A:C,3,FALSE)),0,VLOOKUP(A223,classifications!A:C,3,FALSE))</f>
        <v>0</v>
      </c>
      <c r="C223" s="31" t="s">
        <v>119</v>
      </c>
      <c r="D223" s="49" t="str">
        <f>VLOOKUP($C223,classifications!$C:$J,4,FALSE)</f>
        <v>SD</v>
      </c>
      <c r="E223" s="49">
        <f>VLOOKUP(C223,classifications!C:K,9,FALSE)</f>
        <v>0</v>
      </c>
      <c r="F223" s="59">
        <f t="shared" si="72"/>
        <v>602.29999999999995</v>
      </c>
      <c r="G223" s="105"/>
      <c r="H223" s="60">
        <f t="shared" si="73"/>
        <v>602.29999999999995</v>
      </c>
      <c r="I223" s="112">
        <f>IF(H223="","",IF($I$8="A",(RANK(H223,H$11:H$355,1)+COUNTIF(H$11:H223,H223)-1),(RANK(H223,H$11:H$355)+COUNTIF(H$11:H223,H223)-1)))</f>
        <v>169</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602.29999999999995</v>
      </c>
      <c r="AY223" s="156"/>
      <c r="AZ223" s="44"/>
    </row>
    <row r="224" spans="1:52">
      <c r="A224" s="84" t="str">
        <f>$D$1&amp;214</f>
        <v>SD214</v>
      </c>
      <c r="B224" s="85">
        <f>IF(ISERROR(VLOOKUP(A224,classifications!A:C,3,FALSE)),0,VLOOKUP(A224,classifications!A:C,3,FALSE))</f>
        <v>0</v>
      </c>
      <c r="C224" s="31" t="s">
        <v>280</v>
      </c>
      <c r="D224" s="49" t="str">
        <f>VLOOKUP($C224,classifications!$C:$J,4,FALSE)</f>
        <v>UA</v>
      </c>
      <c r="E224" s="49">
        <f>VLOOKUP(C224,classifications!C:K,9,FALSE)</f>
        <v>0</v>
      </c>
      <c r="F224" s="59">
        <f t="shared" si="72"/>
        <v>586</v>
      </c>
      <c r="G224" s="105"/>
      <c r="H224" s="60" t="str">
        <f t="shared" si="73"/>
        <v/>
      </c>
      <c r="I224" s="112" t="str">
        <f>IF(H224="","",IF($I$8="A",(RANK(H224,H$11:H$355,1)+COUNTIF(H$11:H224,H224)-1),(RANK(H224,H$11:H$355)+COUNTIF(H$11:H224,H224)-1)))</f>
        <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586</v>
      </c>
      <c r="AY224" s="156"/>
      <c r="AZ224" s="44"/>
    </row>
    <row r="225" spans="1:52">
      <c r="A225" s="84" t="str">
        <f>$D$1&amp;215</f>
        <v>SD215</v>
      </c>
      <c r="B225" s="85">
        <f>IF(ISERROR(VLOOKUP(A225,classifications!A:C,3,FALSE)),0,VLOOKUP(A225,classifications!A:C,3,FALSE))</f>
        <v>0</v>
      </c>
      <c r="C225" s="31" t="s">
        <v>281</v>
      </c>
      <c r="D225" s="49" t="str">
        <f>VLOOKUP($C225,classifications!$C:$J,4,FALSE)</f>
        <v>UA</v>
      </c>
      <c r="E225" s="49">
        <f>VLOOKUP(C225,classifications!C:K,9,FALSE)</f>
        <v>0</v>
      </c>
      <c r="F225" s="59">
        <f t="shared" si="72"/>
        <v>609.9</v>
      </c>
      <c r="G225" s="105"/>
      <c r="H225" s="60" t="str">
        <f t="shared" si="73"/>
        <v/>
      </c>
      <c r="I225" s="112" t="str">
        <f>IF(H225="","",IF($I$8="A",(RANK(H225,H$11:H$355,1)+COUNTIF(H$11:H225,H225)-1),(RANK(H225,H$11:H$355)+COUNTIF(H$11:H225,H225)-1)))</f>
        <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609.9</v>
      </c>
      <c r="AY225" s="156"/>
      <c r="AZ225" s="44"/>
    </row>
    <row r="226" spans="1:52">
      <c r="A226" s="84" t="str">
        <f>$D$1&amp;216</f>
        <v>SD216</v>
      </c>
      <c r="B226" s="85">
        <f>IF(ISERROR(VLOOKUP(A226,classifications!A:C,3,FALSE)),0,VLOOKUP(A226,classifications!A:C,3,FALSE))</f>
        <v>0</v>
      </c>
      <c r="C226" s="31" t="s">
        <v>283</v>
      </c>
      <c r="D226" s="49" t="str">
        <f>VLOOKUP($C226,classifications!$C:$J,4,FALSE)</f>
        <v>UA</v>
      </c>
      <c r="E226" s="49">
        <f>VLOOKUP(C226,classifications!C:K,9,FALSE)</f>
        <v>0</v>
      </c>
      <c r="F226" s="59">
        <f t="shared" si="72"/>
        <v>596.29999999999995</v>
      </c>
      <c r="G226" s="105"/>
      <c r="H226" s="60" t="str">
        <f t="shared" si="73"/>
        <v/>
      </c>
      <c r="I226" s="112" t="str">
        <f>IF(H226="","",IF($I$8="A",(RANK(H226,H$11:H$355,1)+COUNTIF(H$11:H226,H226)-1),(RANK(H226,H$11:H$355)+COUNTIF(H$11:H226,H226)-1)))</f>
        <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596.29999999999995</v>
      </c>
      <c r="AY226" s="156"/>
      <c r="AZ226" s="44"/>
    </row>
    <row r="227" spans="1:52">
      <c r="A227" s="84" t="str">
        <f>$D$1&amp;217</f>
        <v>SD217</v>
      </c>
      <c r="B227" s="85">
        <f>IF(ISERROR(VLOOKUP(A227,classifications!A:C,3,FALSE)),0,VLOOKUP(A227,classifications!A:C,3,FALSE))</f>
        <v>0</v>
      </c>
      <c r="C227" s="31" t="s">
        <v>120</v>
      </c>
      <c r="D227" s="49" t="str">
        <f>VLOOKUP($C227,classifications!$C:$J,4,FALSE)</f>
        <v>SD</v>
      </c>
      <c r="E227" s="49">
        <f>VLOOKUP(C227,classifications!C:K,9,FALSE)</f>
        <v>0</v>
      </c>
      <c r="F227" s="59">
        <f t="shared" si="72"/>
        <v>601.79999999999995</v>
      </c>
      <c r="G227" s="105"/>
      <c r="H227" s="60">
        <f t="shared" si="73"/>
        <v>601.79999999999995</v>
      </c>
      <c r="I227" s="112">
        <f>IF(H227="","",IF($I$8="A",(RANK(H227,H$11:H$355,1)+COUNTIF(H$11:H227,H227)-1),(RANK(H227,H$11:H$355)+COUNTIF(H$11:H227,H227)-1)))</f>
        <v>168</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601.79999999999995</v>
      </c>
      <c r="AY227" s="156"/>
      <c r="AZ227" s="44"/>
    </row>
    <row r="228" spans="1:52">
      <c r="A228" s="84" t="str">
        <f>$D$1&amp;218</f>
        <v>SD218</v>
      </c>
      <c r="B228" s="85">
        <f>IF(ISERROR(VLOOKUP(A228,classifications!A:C,3,FALSE)),0,VLOOKUP(A228,classifications!A:C,3,FALSE))</f>
        <v>0</v>
      </c>
      <c r="C228" s="31" t="s">
        <v>284</v>
      </c>
      <c r="D228" s="49" t="str">
        <f>VLOOKUP($C228,classifications!$C:$J,4,FALSE)</f>
        <v>UA</v>
      </c>
      <c r="E228" s="49">
        <f>VLOOKUP(C228,classifications!C:K,9,FALSE)</f>
        <v>0</v>
      </c>
      <c r="F228" s="59">
        <f t="shared" si="72"/>
        <v>504</v>
      </c>
      <c r="G228" s="105"/>
      <c r="H228" s="60" t="str">
        <f t="shared" si="73"/>
        <v/>
      </c>
      <c r="I228" s="112" t="str">
        <f>IF(H228="","",IF($I$8="A",(RANK(H228,H$11:H$355,1)+COUNTIF(H$11:H228,H228)-1),(RANK(H228,H$11:H$355)+COUNTIF(H$11:H228,H228)-1)))</f>
        <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504</v>
      </c>
      <c r="AY228" s="156"/>
      <c r="AZ228" s="44"/>
    </row>
    <row r="229" spans="1:52">
      <c r="A229" s="84" t="str">
        <f>$D$1&amp;219</f>
        <v>SD219</v>
      </c>
      <c r="B229" s="85">
        <f>IF(ISERROR(VLOOKUP(A229,classifications!A:C,3,FALSE)),0,VLOOKUP(A229,classifications!A:C,3,FALSE))</f>
        <v>0</v>
      </c>
      <c r="C229" s="31" t="s">
        <v>216</v>
      </c>
      <c r="D229" s="49" t="str">
        <f>VLOOKUP($C229,classifications!$C:$J,4,FALSE)</f>
        <v>L</v>
      </c>
      <c r="E229" s="49">
        <f>VLOOKUP(C229,classifications!C:K,9,FALSE)</f>
        <v>0</v>
      </c>
      <c r="F229" s="59">
        <f t="shared" si="72"/>
        <v>739.6</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739.6</v>
      </c>
      <c r="AY229" s="156"/>
      <c r="AZ229" s="44"/>
    </row>
    <row r="230" spans="1:52">
      <c r="A230" s="84" t="str">
        <f>$D$1&amp;220</f>
        <v>SD220</v>
      </c>
      <c r="B230" s="85">
        <f>IF(ISERROR(VLOOKUP(A230,classifications!A:C,3,FALSE)),0,VLOOKUP(A230,classifications!A:C,3,FALSE))</f>
        <v>0</v>
      </c>
      <c r="C230" s="31" t="s">
        <v>809</v>
      </c>
      <c r="D230" s="49" t="str">
        <f>VLOOKUP($C230,classifications!$C:$J,4,FALSE)</f>
        <v>UA</v>
      </c>
      <c r="E230" s="49">
        <f>VLOOKUP(C230,classifications!C:K,9,FALSE)</f>
        <v>0</v>
      </c>
      <c r="F230" s="59">
        <f t="shared" si="72"/>
        <v>581.79999999999995</v>
      </c>
      <c r="G230" s="105"/>
      <c r="H230" s="60" t="str">
        <f t="shared" si="73"/>
        <v/>
      </c>
      <c r="I230" s="112" t="str">
        <f>IF(H230="","",IF($I$8="A",(RANK(H230,H$11:H$355,1)+COUNTIF(H$11:H230,H230)-1),(RANK(H230,H$11:H$355)+COUNTIF(H$11:H230,H230)-1)))</f>
        <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581.79999999999995</v>
      </c>
      <c r="AY230" s="156"/>
      <c r="AZ230" s="44"/>
    </row>
    <row r="231" spans="1:52">
      <c r="A231" s="84" t="str">
        <f>$D$1&amp;221</f>
        <v>SD221</v>
      </c>
      <c r="B231" s="85">
        <f>IF(ISERROR(VLOOKUP(A231,classifications!A:C,3,FALSE)),0,VLOOKUP(A231,classifications!A:C,3,FALSE))</f>
        <v>0</v>
      </c>
      <c r="C231" s="31" t="s">
        <v>122</v>
      </c>
      <c r="D231" s="49" t="str">
        <f>VLOOKUP($C231,classifications!$C:$J,4,FALSE)</f>
        <v>SD</v>
      </c>
      <c r="E231" s="49">
        <f>VLOOKUP(C231,classifications!C:K,9,FALSE)</f>
        <v>0</v>
      </c>
      <c r="F231" s="59">
        <f t="shared" si="72"/>
        <v>550.79999999999995</v>
      </c>
      <c r="G231" s="105"/>
      <c r="H231" s="60">
        <f t="shared" si="73"/>
        <v>550.79999999999995</v>
      </c>
      <c r="I231" s="112">
        <f>IF(H231="","",IF($I$8="A",(RANK(H231,H$11:H$355,1)+COUNTIF(H$11:H231,H231)-1),(RANK(H231,H$11:H$355)+COUNTIF(H$11:H231,H231)-1)))</f>
        <v>144</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550.79999999999995</v>
      </c>
      <c r="AY231" s="156"/>
      <c r="AZ231" s="44"/>
    </row>
    <row r="232" spans="1:52">
      <c r="A232" s="84" t="str">
        <f>$D$1&amp;222</f>
        <v>SD222</v>
      </c>
      <c r="B232" s="85">
        <f>IF(ISERROR(VLOOKUP(A232,classifications!A:C,3,FALSE)),0,VLOOKUP(A232,classifications!A:C,3,FALSE))</f>
        <v>0</v>
      </c>
      <c r="C232" s="31" t="s">
        <v>348</v>
      </c>
      <c r="D232" s="49" t="str">
        <f>VLOOKUP($C232,classifications!$C:$J,4,FALSE)</f>
        <v>SD</v>
      </c>
      <c r="E232" s="49">
        <f>VLOOKUP(C232,classifications!C:K,9,FALSE)</f>
        <v>0</v>
      </c>
      <c r="F232" s="59">
        <f t="shared" si="72"/>
        <v>413.2</v>
      </c>
      <c r="G232" s="105"/>
      <c r="H232" s="60">
        <f t="shared" si="73"/>
        <v>413.2</v>
      </c>
      <c r="I232" s="112">
        <f>IF(H232="","",IF($I$8="A",(RANK(H232,H$11:H$355,1)+COUNTIF(H$11:H232,H232)-1),(RANK(H232,H$11:H$355)+COUNTIF(H$11:H232,H232)-1)))</f>
        <v>30</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413.2</v>
      </c>
      <c r="AY232" s="156"/>
      <c r="AZ232" s="44"/>
    </row>
    <row r="233" spans="1:52">
      <c r="A233" s="84" t="str">
        <f>$D$1&amp;223</f>
        <v>SD223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619.6</v>
      </c>
      <c r="G233" s="105"/>
      <c r="H233" s="60">
        <f t="shared" si="73"/>
        <v>619.6</v>
      </c>
      <c r="I233" s="112">
        <f>IF(H233="","",IF($I$8="A",(RANK(H233,H$11:H$355,1)+COUNTIF(H$11:H233,H233)-1),(RANK(H233,H$11:H$355)+COUNTIF(H$11:H233,H233)-1)))</f>
        <v>173</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619.6</v>
      </c>
      <c r="AY233" s="156"/>
      <c r="AZ233" s="44"/>
    </row>
    <row r="234" spans="1:52">
      <c r="A234" s="84" t="str">
        <f>$D$1&amp;224</f>
        <v>SD224</v>
      </c>
      <c r="B234" s="85">
        <f>IF(ISERROR(VLOOKUP(A234,classifications!A:C,3,FALSE)),0,VLOOKUP(A234,classifications!A:C,3,FALSE))</f>
        <v>0</v>
      </c>
      <c r="C234" s="31" t="s">
        <v>393</v>
      </c>
      <c r="D234" s="49" t="str">
        <f>VLOOKUP($C234,classifications!$C:$J,4,FALSE)</f>
        <v>L</v>
      </c>
      <c r="E234" s="49">
        <f>VLOOKUP(C234,classifications!C:K,9,FALSE)</f>
        <v>0</v>
      </c>
      <c r="F234" s="59">
        <f t="shared" si="72"/>
        <v>555.29999999999995</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555.29999999999995</v>
      </c>
      <c r="AY234" s="156"/>
      <c r="AZ234" s="44"/>
    </row>
    <row r="235" spans="1:52">
      <c r="A235" s="84" t="str">
        <f>$D$1&amp;225</f>
        <v>SD225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525.1</v>
      </c>
      <c r="G235" s="105"/>
      <c r="H235" s="60">
        <f t="shared" si="73"/>
        <v>525.1</v>
      </c>
      <c r="I235" s="112">
        <f>IF(H235="","",IF($I$8="A",(RANK(H235,H$11:H$355,1)+COUNTIF(H$11:H235,H235)-1),(RANK(H235,H$11:H$355)+COUNTIF(H$11:H235,H235)-1)))</f>
        <v>124</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525.1</v>
      </c>
      <c r="AY235" s="156"/>
      <c r="AZ235" s="44"/>
    </row>
    <row r="236" spans="1:52">
      <c r="A236" s="84" t="str">
        <f>$D$1&amp;226</f>
        <v>SD226</v>
      </c>
      <c r="B236" s="85">
        <f>IF(ISERROR(VLOOKUP(A236,classifications!A:C,3,FALSE)),0,VLOOKUP(A236,classifications!A:C,3,FALSE))</f>
        <v>0</v>
      </c>
      <c r="C236" s="31" t="s">
        <v>240</v>
      </c>
      <c r="D236" s="49" t="str">
        <f>VLOOKUP($C236,classifications!$C:$J,4,FALSE)</f>
        <v>MD</v>
      </c>
      <c r="E236" s="49">
        <f>VLOOKUP(C236,classifications!C:K,9,FALSE)</f>
        <v>0</v>
      </c>
      <c r="F236" s="59">
        <f t="shared" si="72"/>
        <v>425.3</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425.3</v>
      </c>
      <c r="AY236" s="156"/>
      <c r="AZ236" s="44"/>
    </row>
    <row r="237" spans="1:52">
      <c r="A237" s="84" t="str">
        <f>$D$1&amp;227</f>
        <v>SD227</v>
      </c>
      <c r="B237" s="85">
        <f>IF(ISERROR(VLOOKUP(A237,classifications!A:C,3,FALSE)),0,VLOOKUP(A237,classifications!A:C,3,FALSE))</f>
        <v>0</v>
      </c>
      <c r="C237" s="31" t="s">
        <v>125</v>
      </c>
      <c r="D237" s="49" t="str">
        <f>VLOOKUP($C237,classifications!$C:$J,4,FALSE)</f>
        <v>SD</v>
      </c>
      <c r="E237" s="49">
        <f>VLOOKUP(C237,classifications!C:K,9,FALSE)</f>
        <v>0</v>
      </c>
      <c r="F237" s="59">
        <f t="shared" si="72"/>
        <v>403</v>
      </c>
      <c r="G237" s="105"/>
      <c r="H237" s="60">
        <f t="shared" si="73"/>
        <v>403</v>
      </c>
      <c r="I237" s="112">
        <f>IF(H237="","",IF($I$8="A",(RANK(H237,H$11:H$355,1)+COUNTIF(H$11:H237,H237)-1),(RANK(H237,H$11:H$355)+COUNTIF(H$11:H237,H237)-1)))</f>
        <v>24</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403</v>
      </c>
      <c r="AY237" s="156"/>
      <c r="AZ237" s="44"/>
    </row>
    <row r="238" spans="1:52">
      <c r="A238" s="84" t="str">
        <f>$D$1&amp;228</f>
        <v>SD228</v>
      </c>
      <c r="B238" s="85">
        <f>IF(ISERROR(VLOOKUP(A238,classifications!A:C,3,FALSE)),0,VLOOKUP(A238,classifications!A:C,3,FALSE))</f>
        <v>0</v>
      </c>
      <c r="C238" s="31" t="s">
        <v>126</v>
      </c>
      <c r="D238" s="49" t="str">
        <f>VLOOKUP($C238,classifications!$C:$J,4,FALSE)</f>
        <v>SD</v>
      </c>
      <c r="E238" s="49">
        <f>VLOOKUP(C238,classifications!C:K,9,FALSE)</f>
        <v>0</v>
      </c>
      <c r="F238" s="59">
        <f t="shared" si="72"/>
        <v>524</v>
      </c>
      <c r="G238" s="105"/>
      <c r="H238" s="60">
        <f t="shared" si="73"/>
        <v>524</v>
      </c>
      <c r="I238" s="112">
        <f>IF(H238="","",IF($I$8="A",(RANK(H238,H$11:H$355,1)+COUNTIF(H$11:H238,H238)-1),(RANK(H238,H$11:H$355)+COUNTIF(H$11:H238,H238)-1)))</f>
        <v>120</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524</v>
      </c>
      <c r="AY238" s="156"/>
      <c r="AZ238" s="44"/>
    </row>
    <row r="239" spans="1:52">
      <c r="A239" s="84" t="str">
        <f>$D$1&amp;229</f>
        <v>SD229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479</v>
      </c>
      <c r="G239" s="105"/>
      <c r="H239" s="60">
        <f t="shared" si="73"/>
        <v>479</v>
      </c>
      <c r="I239" s="112">
        <f>IF(H239="","",IF($I$8="A",(RANK(H239,H$11:H$355,1)+COUNTIF(H$11:H239,H239)-1),(RANK(H239,H$11:H$355)+COUNTIF(H$11:H239,H239)-1)))</f>
        <v>82</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479</v>
      </c>
      <c r="AY239" s="156"/>
      <c r="AZ239" s="44"/>
    </row>
    <row r="240" spans="1:52">
      <c r="A240" s="84" t="str">
        <f>$D$1&amp;230</f>
        <v>SD230</v>
      </c>
      <c r="B240" s="85">
        <f>IF(ISERROR(VLOOKUP(A240,classifications!A:C,3,FALSE)),0,VLOOKUP(A240,classifications!A:C,3,FALSE))</f>
        <v>0</v>
      </c>
      <c r="C240" s="31" t="s">
        <v>241</v>
      </c>
      <c r="D240" s="49" t="str">
        <f>VLOOKUP($C240,classifications!$C:$J,4,FALSE)</f>
        <v>MD</v>
      </c>
      <c r="E240" s="49">
        <f>VLOOKUP(C240,classifications!C:K,9,FALSE)</f>
        <v>0</v>
      </c>
      <c r="F240" s="59">
        <f t="shared" si="72"/>
        <v>506.8</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506.8</v>
      </c>
      <c r="AY240" s="156"/>
      <c r="AZ240" s="44"/>
    </row>
    <row r="241" spans="1:52">
      <c r="A241" s="84" t="str">
        <f>$D$1&amp;231</f>
        <v>SD231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486.2</v>
      </c>
      <c r="G241" s="105"/>
      <c r="H241" s="60">
        <f t="shared" si="73"/>
        <v>486.2</v>
      </c>
      <c r="I241" s="112">
        <f>IF(H241="","",IF($I$8="A",(RANK(H241,H$11:H$355,1)+COUNTIF(H$11:H241,H241)-1),(RANK(H241,H$11:H$355)+COUNTIF(H$11:H241,H241)-1)))</f>
        <v>86</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486.2</v>
      </c>
      <c r="AY241" s="156"/>
      <c r="AZ241" s="44"/>
    </row>
    <row r="242" spans="1:52">
      <c r="A242" s="84" t="str">
        <f>$D$1&amp;232</f>
        <v>SD232</v>
      </c>
      <c r="B242" s="85">
        <f>IF(ISERROR(VLOOKUP(A242,classifications!A:C,3,FALSE)),0,VLOOKUP(A242,classifications!A:C,3,FALSE))</f>
        <v>0</v>
      </c>
      <c r="C242" s="31" t="s">
        <v>129</v>
      </c>
      <c r="D242" s="49" t="str">
        <f>VLOOKUP($C242,classifications!$C:$J,4,FALSE)</f>
        <v>SD</v>
      </c>
      <c r="E242" s="49">
        <f>VLOOKUP(C242,classifications!C:K,9,FALSE)</f>
        <v>0</v>
      </c>
      <c r="F242" s="59">
        <f t="shared" si="72"/>
        <v>411.9</v>
      </c>
      <c r="G242" s="105"/>
      <c r="H242" s="60">
        <f t="shared" si="73"/>
        <v>411.9</v>
      </c>
      <c r="I242" s="112">
        <f>IF(H242="","",IF($I$8="A",(RANK(H242,H$11:H$355,1)+COUNTIF(H$11:H242,H242)-1),(RANK(H242,H$11:H$355)+COUNTIF(H$11:H242,H242)-1)))</f>
        <v>28</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411.9</v>
      </c>
      <c r="AY242" s="156"/>
      <c r="AZ242" s="44"/>
    </row>
    <row r="243" spans="1:52">
      <c r="A243" s="84" t="str">
        <f>$D$1&amp;233</f>
        <v>SD233</v>
      </c>
      <c r="B243" s="85">
        <f>IF(ISERROR(VLOOKUP(A243,classifications!A:C,3,FALSE)),0,VLOOKUP(A243,classifications!A:C,3,FALSE))</f>
        <v>0</v>
      </c>
      <c r="C243" s="31" t="s">
        <v>130</v>
      </c>
      <c r="D243" s="49" t="str">
        <f>VLOOKUP($C243,classifications!$C:$J,4,FALSE)</f>
        <v>SD</v>
      </c>
      <c r="E243" s="49">
        <f>VLOOKUP(C243,classifications!C:K,9,FALSE)</f>
        <v>0</v>
      </c>
      <c r="F243" s="59">
        <f t="shared" si="72"/>
        <v>511.5</v>
      </c>
      <c r="G243" s="105"/>
      <c r="H243" s="60">
        <f t="shared" si="73"/>
        <v>511.5</v>
      </c>
      <c r="I243" s="112">
        <f>IF(H243="","",IF($I$8="A",(RANK(H243,H$11:H$355,1)+COUNTIF(H$11:H243,H243)-1),(RANK(H243,H$11:H$355)+COUNTIF(H$11:H243,H243)-1)))</f>
        <v>111</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511.5</v>
      </c>
      <c r="AY243" s="156"/>
      <c r="AZ243" s="44"/>
    </row>
    <row r="244" spans="1:52">
      <c r="A244" s="84" t="str">
        <f>$D$1&amp;234</f>
        <v>SD234</v>
      </c>
      <c r="B244" s="85">
        <f>IF(ISERROR(VLOOKUP(A244,classifications!A:C,3,FALSE)),0,VLOOKUP(A244,classifications!A:C,3,FALSE))</f>
        <v>0</v>
      </c>
      <c r="C244" s="31" t="s">
        <v>131</v>
      </c>
      <c r="D244" s="49" t="str">
        <f>VLOOKUP($C244,classifications!$C:$J,4,FALSE)</f>
        <v>SD</v>
      </c>
      <c r="E244" s="49">
        <f>VLOOKUP(C244,classifications!C:K,9,FALSE)</f>
        <v>0</v>
      </c>
      <c r="F244" s="59">
        <f t="shared" si="72"/>
        <v>556.79999999999995</v>
      </c>
      <c r="G244" s="105"/>
      <c r="H244" s="60">
        <f t="shared" si="73"/>
        <v>556.79999999999995</v>
      </c>
      <c r="I244" s="112">
        <f>IF(H244="","",IF($I$8="A",(RANK(H244,H$11:H$355,1)+COUNTIF(H$11:H244,H244)-1),(RANK(H244,H$11:H$355)+COUNTIF(H$11:H244,H244)-1)))</f>
        <v>148</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556.79999999999995</v>
      </c>
      <c r="AY244" s="156"/>
      <c r="AZ244" s="44"/>
    </row>
    <row r="245" spans="1:52">
      <c r="A245" s="84" t="str">
        <f>$D$1&amp;235</f>
        <v>SD235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545.1</v>
      </c>
      <c r="G245" s="105"/>
      <c r="H245" s="60" t="str">
        <f t="shared" si="73"/>
        <v/>
      </c>
      <c r="I245" s="112" t="str">
        <f>IF(H245="","",IF($I$8="A",(RANK(H245,H$11:H$355,1)+COUNTIF(H$11:H245,H245)-1),(RANK(H245,H$11:H$355)+COUNTIF(H$11:H245,H245)-1)))</f>
        <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545.1</v>
      </c>
      <c r="AY245" s="156"/>
      <c r="AZ245" s="44"/>
    </row>
    <row r="246" spans="1:52">
      <c r="A246" s="84" t="str">
        <f>$D$1&amp;236</f>
        <v>SD236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432.5</v>
      </c>
      <c r="G246" s="105"/>
      <c r="H246" s="60">
        <f t="shared" si="73"/>
        <v>432.5</v>
      </c>
      <c r="I246" s="112">
        <f>IF(H246="","",IF($I$8="A",(RANK(H246,H$11:H$355,1)+COUNTIF(H$11:H246,H246)-1),(RANK(H246,H$11:H$355)+COUNTIF(H$11:H246,H246)-1)))</f>
        <v>43</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432.5</v>
      </c>
      <c r="AY246" s="156"/>
      <c r="AZ246" s="44"/>
    </row>
    <row r="247" spans="1:52">
      <c r="A247" s="84" t="str">
        <f>$D$1&amp;237</f>
        <v>SD237</v>
      </c>
      <c r="B247" s="85">
        <f>IF(ISERROR(VLOOKUP(A247,classifications!A:C,3,FALSE)),0,VLOOKUP(A247,classifications!A:C,3,FALSE))</f>
        <v>0</v>
      </c>
      <c r="C247" s="31" t="s">
        <v>242</v>
      </c>
      <c r="D247" s="49" t="str">
        <f>VLOOKUP($C247,classifications!$C:$J,4,FALSE)</f>
        <v>MD</v>
      </c>
      <c r="E247" s="49">
        <f>VLOOKUP(C247,classifications!C:K,9,FALSE)</f>
        <v>0</v>
      </c>
      <c r="F247" s="59">
        <f t="shared" si="72"/>
        <v>379.2</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379.2</v>
      </c>
      <c r="AY247" s="156"/>
      <c r="AZ247" s="44"/>
    </row>
    <row r="248" spans="1:52">
      <c r="A248" s="84" t="str">
        <f>$D$1&amp;238</f>
        <v>SD238</v>
      </c>
      <c r="B248" s="85">
        <f>IF(ISERROR(VLOOKUP(A248,classifications!A:C,3,FALSE)),0,VLOOKUP(A248,classifications!A:C,3,FALSE))</f>
        <v>0</v>
      </c>
      <c r="C248" s="31" t="s">
        <v>243</v>
      </c>
      <c r="D248" s="49" t="str">
        <f>VLOOKUP($C248,classifications!$C:$J,4,FALSE)</f>
        <v>MD</v>
      </c>
      <c r="E248" s="49">
        <f>VLOOKUP(C248,classifications!C:K,9,FALSE)</f>
        <v>0</v>
      </c>
      <c r="F248" s="59">
        <f t="shared" si="72"/>
        <v>648.9</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648.9</v>
      </c>
      <c r="AY248" s="156"/>
      <c r="AZ248" s="44"/>
    </row>
    <row r="249" spans="1:52">
      <c r="A249" s="84" t="str">
        <f>$D$1&amp;239</f>
        <v>SD239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510.3</v>
      </c>
      <c r="G249" s="105"/>
      <c r="H249" s="60">
        <f t="shared" si="73"/>
        <v>510.3</v>
      </c>
      <c r="I249" s="112">
        <f>IF(H249="","",IF($I$8="A",(RANK(H249,H$11:H$355,1)+COUNTIF(H$11:H249,H249)-1),(RANK(H249,H$11:H$355)+COUNTIF(H$11:H249,H249)-1)))</f>
        <v>110</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510.3</v>
      </c>
      <c r="AY249" s="156"/>
      <c r="AZ249" s="44"/>
    </row>
    <row r="250" spans="1:52">
      <c r="A250" s="84" t="str">
        <f>$D$1&amp;240</f>
        <v>SD240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v>
      </c>
      <c r="I250" s="112" t="e">
        <f>IF(H250="","",IF($I$8="A",(RANK(H250,H$11:H$355,1)+COUNTIF(H$11:H250,H250)-1),(RANK(H250,H$11:H$355)+COUNTIF(H$11:H250,H250)-1)))</f>
        <v>#VALUE!</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SD241</v>
      </c>
      <c r="B251" s="85">
        <f>IF(ISERROR(VLOOKUP(A251,classifications!A:C,3,FALSE)),0,VLOOKUP(A251,classifications!A:C,3,FALSE))</f>
        <v>0</v>
      </c>
      <c r="C251" s="31" t="s">
        <v>244</v>
      </c>
      <c r="D251" s="49" t="str">
        <f>VLOOKUP($C251,classifications!$C:$J,4,FALSE)</f>
        <v>MD</v>
      </c>
      <c r="E251" s="49">
        <f>VLOOKUP(C251,classifications!C:K,9,FALSE)</f>
        <v>0</v>
      </c>
      <c r="F251" s="59">
        <f t="shared" si="72"/>
        <v>627.79999999999995</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627.79999999999995</v>
      </c>
      <c r="AY251" s="156"/>
      <c r="AZ251" s="44"/>
    </row>
    <row r="252" spans="1:52">
      <c r="A252" s="84" t="str">
        <f>$D$1&amp;242</f>
        <v>SD242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575</v>
      </c>
      <c r="G252" s="105"/>
      <c r="H252" s="60">
        <f t="shared" si="73"/>
        <v>575</v>
      </c>
      <c r="I252" s="112">
        <f>IF(H252="","",IF($I$8="A",(RANK(H252,H$11:H$355,1)+COUNTIF(H$11:H252,H252)-1),(RANK(H252,H$11:H$355)+COUNTIF(H$11:H252,H252)-1)))</f>
        <v>160</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575</v>
      </c>
      <c r="AY252" s="156"/>
      <c r="AZ252" s="44"/>
    </row>
    <row r="253" spans="1:52">
      <c r="A253" s="84" t="str">
        <f>$D$1&amp;243</f>
        <v>SD243</v>
      </c>
      <c r="B253" s="85">
        <f>IF(ISERROR(VLOOKUP(A253,classifications!A:C,3,FALSE)),0,VLOOKUP(A253,classifications!A:C,3,FALSE))</f>
        <v>0</v>
      </c>
      <c r="C253" s="31" t="s">
        <v>136</v>
      </c>
      <c r="D253" s="49" t="str">
        <f>VLOOKUP($C253,classifications!$C:$J,4,FALSE)</f>
        <v>SD</v>
      </c>
      <c r="E253" s="49">
        <f>VLOOKUP(C253,classifications!C:K,9,FALSE)</f>
        <v>0</v>
      </c>
      <c r="F253" s="59">
        <f t="shared" si="72"/>
        <v>619.29999999999995</v>
      </c>
      <c r="G253" s="105"/>
      <c r="H253" s="60">
        <f t="shared" si="73"/>
        <v>619.29999999999995</v>
      </c>
      <c r="I253" s="112">
        <f>IF(H253="","",IF($I$8="A",(RANK(H253,H$11:H$355,1)+COUNTIF(H$11:H253,H253)-1),(RANK(H253,H$11:H$355)+COUNTIF(H$11:H253,H253)-1)))</f>
        <v>172</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619.29999999999995</v>
      </c>
      <c r="AY253" s="156"/>
      <c r="AZ253" s="44"/>
    </row>
    <row r="254" spans="1:52">
      <c r="A254" s="84" t="str">
        <f>$D$1&amp;244</f>
        <v>SD244</v>
      </c>
      <c r="B254" s="85">
        <f>IF(ISERROR(VLOOKUP(A254,classifications!A:C,3,FALSE)),0,VLOOKUP(A254,classifications!A:C,3,FALSE))</f>
        <v>0</v>
      </c>
      <c r="C254" s="31" t="s">
        <v>245</v>
      </c>
      <c r="D254" s="49" t="str">
        <f>VLOOKUP($C254,classifications!$C:$J,4,FALSE)</f>
        <v>MD</v>
      </c>
      <c r="E254" s="49">
        <f>VLOOKUP(C254,classifications!C:K,9,FALSE)</f>
        <v>0</v>
      </c>
      <c r="F254" s="59">
        <f t="shared" si="72"/>
        <v>534.4</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534.4</v>
      </c>
      <c r="AY254" s="156"/>
      <c r="AZ254" s="44"/>
    </row>
    <row r="255" spans="1:52">
      <c r="A255" s="84" t="str">
        <f>$D$1&amp;245</f>
        <v>SD245</v>
      </c>
      <c r="B255" s="85">
        <f>IF(ISERROR(VLOOKUP(A255,classifications!A:C,3,FALSE)),0,VLOOKUP(A255,classifications!A:C,3,FALSE))</f>
        <v>0</v>
      </c>
      <c r="C255" s="31" t="s">
        <v>911</v>
      </c>
      <c r="D255" s="49" t="str">
        <f>VLOOKUP($C255,classifications!$C:$J,4,FALSE)</f>
        <v>SD</v>
      </c>
      <c r="E255" s="49">
        <f>VLOOKUP(C255,classifications!C:K,9,FALSE)</f>
        <v>0</v>
      </c>
      <c r="F255" s="59">
        <f t="shared" si="72"/>
        <v>436.8</v>
      </c>
      <c r="G255" s="105"/>
      <c r="H255" s="60">
        <f t="shared" si="73"/>
        <v>436.8</v>
      </c>
      <c r="I255" s="112">
        <f>IF(H255="","",IF($I$8="A",(RANK(H255,H$11:H$355,1)+COUNTIF(H$11:H255,H255)-1),(RANK(H255,H$11:H$355)+COUNTIF(H$11:H255,H255)-1)))</f>
        <v>45</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436.8</v>
      </c>
      <c r="AY255" s="156"/>
      <c r="AZ255" s="44"/>
    </row>
    <row r="256" spans="1:52">
      <c r="A256" s="84" t="str">
        <f>$D$1&amp;246</f>
        <v>SD246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554.9</v>
      </c>
      <c r="G256" s="105"/>
      <c r="H256" s="60" t="str">
        <f t="shared" si="73"/>
        <v/>
      </c>
      <c r="I256" s="112" t="str">
        <f>IF(H256="","",IF($I$8="A",(RANK(H256,H$11:H$355,1)+COUNTIF(H$11:H256,H256)-1),(RANK(H256,H$11:H$355)+COUNTIF(H$11:H256,H256)-1)))</f>
        <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554.9</v>
      </c>
      <c r="AY256" s="156"/>
      <c r="AZ256" s="44"/>
    </row>
    <row r="257" spans="1:52">
      <c r="A257" s="84" t="str">
        <f>$D$1&amp;247</f>
        <v>SD247</v>
      </c>
      <c r="B257" s="85">
        <f>IF(ISERROR(VLOOKUP(A257,classifications!A:C,3,FALSE)),0,VLOOKUP(A257,classifications!A:C,3,FALSE))</f>
        <v>0</v>
      </c>
      <c r="C257" s="31" t="s">
        <v>286</v>
      </c>
      <c r="D257" s="49" t="str">
        <f>VLOOKUP($C257,classifications!$C:$J,4,FALSE)</f>
        <v>UA</v>
      </c>
      <c r="E257" s="49">
        <f>VLOOKUP(C257,classifications!C:K,9,FALSE)</f>
        <v>0</v>
      </c>
      <c r="F257" s="59">
        <f t="shared" si="72"/>
        <v>723.8</v>
      </c>
      <c r="G257" s="105"/>
      <c r="H257" s="60" t="str">
        <f t="shared" si="73"/>
        <v/>
      </c>
      <c r="I257" s="112" t="str">
        <f>IF(H257="","",IF($I$8="A",(RANK(H257,H$11:H$355,1)+COUNTIF(H$11:H257,H257)-1),(RANK(H257,H$11:H$355)+COUNTIF(H$11:H257,H257)-1)))</f>
        <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723.8</v>
      </c>
      <c r="AY257" s="156"/>
      <c r="AZ257" s="44"/>
    </row>
    <row r="258" spans="1:52">
      <c r="A258" s="84" t="str">
        <f>$D$1&amp;248</f>
        <v>SD248</v>
      </c>
      <c r="B258" s="85">
        <f>IF(ISERROR(VLOOKUP(A258,classifications!A:C,3,FALSE)),0,VLOOKUP(A258,classifications!A:C,3,FALSE))</f>
        <v>0</v>
      </c>
      <c r="C258" s="31" t="s">
        <v>246</v>
      </c>
      <c r="D258" s="49" t="str">
        <f>VLOOKUP($C258,classifications!$C:$J,4,FALSE)</f>
        <v>MD</v>
      </c>
      <c r="E258" s="49">
        <f>VLOOKUP(C258,classifications!C:K,9,FALSE)</f>
        <v>0</v>
      </c>
      <c r="F258" s="59">
        <f t="shared" si="72"/>
        <v>634.29999999999995</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634.29999999999995</v>
      </c>
      <c r="AY258" s="156"/>
      <c r="AZ258" s="44"/>
    </row>
    <row r="259" spans="1:52">
      <c r="A259" s="84" t="str">
        <f>$D$1&amp;249</f>
        <v>SD249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SD250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v>
      </c>
      <c r="I260" s="112" t="e">
        <f>IF(H260="","",IF($I$8="A",(RANK(H260,H$11:H$355,1)+COUNTIF(H$11:H260,H260)-1),(RANK(H260,H$11:H$355)+COUNTIF(H$11:H260,H260)-1)))</f>
        <v>#VALUE!</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SD251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v>
      </c>
      <c r="I261" s="112" t="e">
        <f>IF(H261="","",IF($I$8="A",(RANK(H261,H$11:H$355,1)+COUNTIF(H$11:H261,H261)-1),(RANK(H261,H$11:H$355)+COUNTIF(H$11:H261,H261)-1)))</f>
        <v>#VALUE!</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SD252</v>
      </c>
      <c r="B262" s="85">
        <f>IF(ISERROR(VLOOKUP(A262,classifications!A:C,3,FALSE)),0,VLOOKUP(A262,classifications!A:C,3,FALSE))</f>
        <v>0</v>
      </c>
      <c r="C262" s="31" t="s">
        <v>139</v>
      </c>
      <c r="D262" s="49" t="str">
        <f>VLOOKUP($C262,classifications!$C:$J,4,FALSE)</f>
        <v>SD</v>
      </c>
      <c r="E262" s="49">
        <f>VLOOKUP(C262,classifications!C:K,9,FALSE)</f>
        <v>0</v>
      </c>
      <c r="F262" s="59">
        <f t="shared" si="72"/>
        <v>530.5</v>
      </c>
      <c r="G262" s="105"/>
      <c r="H262" s="60">
        <f t="shared" si="73"/>
        <v>530.5</v>
      </c>
      <c r="I262" s="112">
        <f>IF(H262="","",IF($I$8="A",(RANK(H262,H$11:H$355,1)+COUNTIF(H$11:H262,H262)-1),(RANK(H262,H$11:H$355)+COUNTIF(H$11:H262,H262)-1)))</f>
        <v>129</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530.5</v>
      </c>
      <c r="AY262" s="156"/>
      <c r="AZ262" s="44"/>
    </row>
    <row r="263" spans="1:52">
      <c r="A263" s="84" t="str">
        <f>$D$1&amp;253</f>
        <v>SD253</v>
      </c>
      <c r="B263" s="85">
        <f>IF(ISERROR(VLOOKUP(A263,classifications!A:C,3,FALSE)),0,VLOOKUP(A263,classifications!A:C,3,FALSE))</f>
        <v>0</v>
      </c>
      <c r="C263" s="31" t="s">
        <v>287</v>
      </c>
      <c r="D263" s="49" t="str">
        <f>VLOOKUP($C263,classifications!$C:$J,4,FALSE)</f>
        <v>UA</v>
      </c>
      <c r="E263" s="49">
        <f>VLOOKUP(C263,classifications!C:K,9,FALSE)</f>
        <v>0</v>
      </c>
      <c r="F263" s="59">
        <f t="shared" si="72"/>
        <v>427.2</v>
      </c>
      <c r="G263" s="105"/>
      <c r="H263" s="60" t="str">
        <f t="shared" si="73"/>
        <v/>
      </c>
      <c r="I263" s="112" t="str">
        <f>IF(H263="","",IF($I$8="A",(RANK(H263,H$11:H$355,1)+COUNTIF(H$11:H263,H263)-1),(RANK(H263,H$11:H$355)+COUNTIF(H$11:H263,H263)-1)))</f>
        <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427.2</v>
      </c>
      <c r="AY263" s="156"/>
      <c r="AZ263" s="44"/>
    </row>
    <row r="264" spans="1:52">
      <c r="A264" s="84" t="str">
        <f>$D$1&amp;254</f>
        <v>SD254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357.6</v>
      </c>
      <c r="G264" s="105"/>
      <c r="H264" s="60">
        <f t="shared" si="73"/>
        <v>357.6</v>
      </c>
      <c r="I264" s="112">
        <f>IF(H264="","",IF($I$8="A",(RANK(H264,H$11:H$355,1)+COUNTIF(H$11:H264,H264)-1),(RANK(H264,H$11:H$355)+COUNTIF(H$11:H264,H264)-1)))</f>
        <v>11</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357.6</v>
      </c>
      <c r="AY264" s="156"/>
      <c r="AZ264" s="44"/>
    </row>
    <row r="265" spans="1:52">
      <c r="A265" s="84" t="str">
        <f>$D$1&amp;255</f>
        <v>SD255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622.29999999999995</v>
      </c>
      <c r="G265" s="105"/>
      <c r="H265" s="60">
        <f t="shared" si="73"/>
        <v>622.29999999999995</v>
      </c>
      <c r="I265" s="112">
        <f>IF(H265="","",IF($I$8="A",(RANK(H265,H$11:H$355,1)+COUNTIF(H$11:H265,H265)-1),(RANK(H265,H$11:H$355)+COUNTIF(H$11:H265,H265)-1)))</f>
        <v>174</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622.29999999999995</v>
      </c>
      <c r="AY265" s="156"/>
      <c r="AZ265" s="44"/>
    </row>
    <row r="266" spans="1:52">
      <c r="A266" s="84" t="str">
        <f>$D$1&amp;256</f>
        <v>SD256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528.4</v>
      </c>
      <c r="G266" s="105"/>
      <c r="H266" s="60">
        <f t="shared" si="73"/>
        <v>528.4</v>
      </c>
      <c r="I266" s="112">
        <f>IF(H266="","",IF($I$8="A",(RANK(H266,H$11:H$355,1)+COUNTIF(H$11:H266,H266)-1),(RANK(H266,H$11:H$355)+COUNTIF(H$11:H266,H266)-1)))</f>
        <v>127</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528.4</v>
      </c>
      <c r="AY266" s="156"/>
      <c r="AZ266" s="44"/>
    </row>
    <row r="267" spans="1:52">
      <c r="A267" s="84" t="str">
        <f>$D$1&amp;257</f>
        <v>SD257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491.5</v>
      </c>
      <c r="G267" s="105"/>
      <c r="H267" s="60">
        <f t="shared" ref="H267:H330" si="97">IF(D267=$D$1,HLOOKUP($D$6,$AX$10:$ZZ$355,ROW()-9,FALSE),"")</f>
        <v>491.5</v>
      </c>
      <c r="I267" s="112">
        <f>IF(H267="","",IF($I$8="A",(RANK(H267,H$11:H$355,1)+COUNTIF(H$11:H267,H267)-1),(RANK(H267,H$11:H$355)+COUNTIF(H$11:H267,H267)-1)))</f>
        <v>92</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491.5</v>
      </c>
      <c r="AY267" s="156"/>
      <c r="AZ267" s="44"/>
    </row>
    <row r="268" spans="1:52">
      <c r="A268" s="84" t="str">
        <f>$D$1&amp;258</f>
        <v>SD258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509.3</v>
      </c>
      <c r="G268" s="105"/>
      <c r="H268" s="60">
        <f t="shared" si="97"/>
        <v>509.3</v>
      </c>
      <c r="I268" s="112">
        <f>IF(H268="","",IF($I$8="A",(RANK(H268,H$11:H$355,1)+COUNTIF(H$11:H268,H268)-1),(RANK(H268,H$11:H$355)+COUNTIF(H$11:H268,H268)-1)))</f>
        <v>109</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509.3</v>
      </c>
      <c r="AY268" s="156"/>
      <c r="AZ268" s="44"/>
    </row>
    <row r="269" spans="1:52">
      <c r="A269" s="84" t="str">
        <f>$D$1&amp;259</f>
        <v>SD259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438.4</v>
      </c>
      <c r="G269" s="105"/>
      <c r="H269" s="60">
        <f t="shared" si="97"/>
        <v>438.4</v>
      </c>
      <c r="I269" s="112">
        <f>IF(H269="","",IF($I$8="A",(RANK(H269,H$11:H$355,1)+COUNTIF(H$11:H269,H269)-1),(RANK(H269,H$11:H$355)+COUNTIF(H$11:H269,H269)-1)))</f>
        <v>47</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438.4</v>
      </c>
      <c r="AY269" s="156"/>
      <c r="AZ269" s="44"/>
    </row>
    <row r="270" spans="1:52">
      <c r="A270" s="84" t="str">
        <f>$D$1&amp;260</f>
        <v>SD260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336.3</v>
      </c>
      <c r="G270" s="105"/>
      <c r="H270" s="60">
        <f t="shared" si="97"/>
        <v>336.3</v>
      </c>
      <c r="I270" s="112">
        <f>IF(H270="","",IF($I$8="A",(RANK(H270,H$11:H$355,1)+COUNTIF(H$11:H270,H270)-1),(RANK(H270,H$11:H$355)+COUNTIF(H$11:H270,H270)-1)))</f>
        <v>8</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336.3</v>
      </c>
      <c r="AY270" s="156"/>
      <c r="AZ270" s="44"/>
    </row>
    <row r="271" spans="1:52">
      <c r="A271" s="84" t="str">
        <f>$D$1&amp;261</f>
        <v>SD261</v>
      </c>
      <c r="B271" s="85">
        <f>IF(ISERROR(VLOOKUP(A271,classifications!A:C,3,FALSE)),0,VLOOKUP(A271,classifications!A:C,3,FALSE))</f>
        <v>0</v>
      </c>
      <c r="C271" s="31" t="s">
        <v>147</v>
      </c>
      <c r="D271" s="49" t="str">
        <f>VLOOKUP($C271,classifications!$C:$J,4,FALSE)</f>
        <v>SD</v>
      </c>
      <c r="E271" s="49">
        <f>VLOOKUP(C271,classifications!C:K,9,FALSE)</f>
        <v>0</v>
      </c>
      <c r="F271" s="59">
        <f t="shared" si="96"/>
        <v>504.9</v>
      </c>
      <c r="G271" s="105"/>
      <c r="H271" s="60">
        <f t="shared" si="97"/>
        <v>504.9</v>
      </c>
      <c r="I271" s="112">
        <f>IF(H271="","",IF($I$8="A",(RANK(H271,H$11:H$355,1)+COUNTIF(H$11:H271,H271)-1),(RANK(H271,H$11:H$355)+COUNTIF(H$11:H271,H271)-1)))</f>
        <v>104</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504.9</v>
      </c>
      <c r="AY271" s="156"/>
      <c r="AZ271" s="44"/>
    </row>
    <row r="272" spans="1:52">
      <c r="A272" s="84" t="str">
        <f>$D$1&amp;262</f>
        <v>SD262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v>
      </c>
      <c r="I272" s="112" t="e">
        <f>IF(H272="","",IF($I$8="A",(RANK(H272,H$11:H$355,1)+COUNTIF(H$11:H272,H272)-1),(RANK(H272,H$11:H$355)+COUNTIF(H$11:H272,H272)-1)))</f>
        <v>#VALUE!</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SD263</v>
      </c>
      <c r="B273" s="85">
        <f>IF(ISERROR(VLOOKUP(A273,classifications!A:C,3,FALSE)),0,VLOOKUP(A273,classifications!A:C,3,FALSE))</f>
        <v>0</v>
      </c>
      <c r="C273" s="31" t="s">
        <v>149</v>
      </c>
      <c r="D273" s="49" t="str">
        <f>VLOOKUP($C273,classifications!$C:$J,4,FALSE)</f>
        <v>SD</v>
      </c>
      <c r="E273" s="49">
        <f>VLOOKUP(C273,classifications!C:K,9,FALSE)</f>
        <v>0</v>
      </c>
      <c r="F273" s="59">
        <f t="shared" si="96"/>
        <v>511.9</v>
      </c>
      <c r="G273" s="105"/>
      <c r="H273" s="60">
        <f t="shared" si="97"/>
        <v>511.9</v>
      </c>
      <c r="I273" s="112">
        <f>IF(H273="","",IF($I$8="A",(RANK(H273,H$11:H$355,1)+COUNTIF(H$11:H273,H273)-1),(RANK(H273,H$11:H$355)+COUNTIF(H$11:H273,H273)-1)))</f>
        <v>113</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511.9</v>
      </c>
      <c r="AY273" s="156"/>
      <c r="AZ273" s="44"/>
    </row>
    <row r="274" spans="1:52">
      <c r="A274" s="84" t="str">
        <f>$D$1&amp;264</f>
        <v>SD264</v>
      </c>
      <c r="B274" s="85">
        <f>IF(ISERROR(VLOOKUP(A274,classifications!A:C,3,FALSE)),0,VLOOKUP(A274,classifications!A:C,3,FALSE))</f>
        <v>0</v>
      </c>
      <c r="C274" s="31" t="s">
        <v>247</v>
      </c>
      <c r="D274" s="49" t="str">
        <f>VLOOKUP($C274,classifications!$C:$J,4,FALSE)</f>
        <v>MD</v>
      </c>
      <c r="E274" s="49">
        <f>VLOOKUP(C274,classifications!C:K,9,FALSE)</f>
        <v>0</v>
      </c>
      <c r="F274" s="59">
        <f t="shared" si="96"/>
        <v>703.8</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703.8</v>
      </c>
      <c r="AY274" s="156"/>
      <c r="AZ274" s="44"/>
    </row>
    <row r="275" spans="1:52">
      <c r="A275" s="84" t="str">
        <f>$D$1&amp;265</f>
        <v>SD265</v>
      </c>
      <c r="B275" s="85">
        <f>IF(ISERROR(VLOOKUP(A275,classifications!A:C,3,FALSE)),0,VLOOKUP(A275,classifications!A:C,3,FALSE))</f>
        <v>0</v>
      </c>
      <c r="C275" s="31" t="s">
        <v>288</v>
      </c>
      <c r="D275" s="49" t="str">
        <f>VLOOKUP($C275,classifications!$C:$J,4,FALSE)</f>
        <v>UA</v>
      </c>
      <c r="E275" s="49">
        <f>VLOOKUP(C275,classifications!C:K,9,FALSE)</f>
        <v>0</v>
      </c>
      <c r="F275" s="59">
        <f t="shared" si="96"/>
        <v>587.20000000000005</v>
      </c>
      <c r="G275" s="105"/>
      <c r="H275" s="60" t="str">
        <f t="shared" si="97"/>
        <v/>
      </c>
      <c r="I275" s="112" t="str">
        <f>IF(H275="","",IF($I$8="A",(RANK(H275,H$11:H$355,1)+COUNTIF(H$11:H275,H275)-1),(RANK(H275,H$11:H$355)+COUNTIF(H$11:H275,H275)-1)))</f>
        <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587.20000000000005</v>
      </c>
      <c r="AY275" s="156"/>
      <c r="AZ275" s="44"/>
    </row>
    <row r="276" spans="1:52">
      <c r="A276" s="84" t="str">
        <f>$D$1&amp;266</f>
        <v>SD266</v>
      </c>
      <c r="B276" s="85">
        <f>IF(ISERROR(VLOOKUP(A276,classifications!A:C,3,FALSE)),0,VLOOKUP(A276,classifications!A:C,3,FALSE))</f>
        <v>0</v>
      </c>
      <c r="C276" s="31" t="s">
        <v>289</v>
      </c>
      <c r="D276" s="49" t="str">
        <f>VLOOKUP($C276,classifications!$C:$J,4,FALSE)</f>
        <v>UA</v>
      </c>
      <c r="E276" s="49">
        <f>VLOOKUP(C276,classifications!C:K,9,FALSE)</f>
        <v>0</v>
      </c>
      <c r="F276" s="59">
        <f t="shared" si="96"/>
        <v>538.5</v>
      </c>
      <c r="G276" s="105"/>
      <c r="H276" s="60" t="str">
        <f t="shared" si="97"/>
        <v/>
      </c>
      <c r="I276" s="112" t="str">
        <f>IF(H276="","",IF($I$8="A",(RANK(H276,H$11:H$355,1)+COUNTIF(H$11:H276,H276)-1),(RANK(H276,H$11:H$355)+COUNTIF(H$11:H276,H276)-1)))</f>
        <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538.5</v>
      </c>
      <c r="AY276" s="156"/>
      <c r="AZ276" s="44"/>
    </row>
    <row r="277" spans="1:52">
      <c r="A277" s="84" t="str">
        <f>$D$1&amp;267</f>
        <v>SD267</v>
      </c>
      <c r="B277" s="85">
        <f>IF(ISERROR(VLOOKUP(A277,classifications!A:C,3,FALSE)),0,VLOOKUP(A277,classifications!A:C,3,FALSE))</f>
        <v>0</v>
      </c>
      <c r="C277" s="31" t="s">
        <v>217</v>
      </c>
      <c r="D277" s="49" t="str">
        <f>VLOOKUP($C277,classifications!$C:$J,4,FALSE)</f>
        <v>L</v>
      </c>
      <c r="E277" s="49">
        <f>VLOOKUP(C277,classifications!C:K,9,FALSE)</f>
        <v>0</v>
      </c>
      <c r="F277" s="59">
        <f t="shared" si="96"/>
        <v>529.1</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529.1</v>
      </c>
      <c r="AY277" s="156"/>
      <c r="AZ277" s="44"/>
    </row>
    <row r="278" spans="1:52">
      <c r="A278" s="84" t="str">
        <f>$D$1&amp;268</f>
        <v>SD268</v>
      </c>
      <c r="B278" s="85">
        <f>IF(ISERROR(VLOOKUP(A278,classifications!A:C,3,FALSE)),0,VLOOKUP(A278,classifications!A:C,3,FALSE))</f>
        <v>0</v>
      </c>
      <c r="C278" s="31" t="s">
        <v>150</v>
      </c>
      <c r="D278" s="49" t="str">
        <f>VLOOKUP($C278,classifications!$C:$J,4,FALSE)</f>
        <v>SD</v>
      </c>
      <c r="E278" s="49">
        <f>VLOOKUP(C278,classifications!C:K,9,FALSE)</f>
        <v>0</v>
      </c>
      <c r="F278" s="59">
        <f t="shared" si="96"/>
        <v>457</v>
      </c>
      <c r="G278" s="105"/>
      <c r="H278" s="60">
        <f t="shared" si="97"/>
        <v>457</v>
      </c>
      <c r="I278" s="112">
        <f>IF(H278="","",IF($I$8="A",(RANK(H278,H$11:H$355,1)+COUNTIF(H$11:H278,H278)-1),(RANK(H278,H$11:H$355)+COUNTIF(H$11:H278,H278)-1)))</f>
        <v>60</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457</v>
      </c>
      <c r="AY278" s="156"/>
      <c r="AZ278" s="44"/>
    </row>
    <row r="279" spans="1:52">
      <c r="A279" s="84" t="str">
        <f>$D$1&amp;269</f>
        <v>SD269</v>
      </c>
      <c r="B279" s="85">
        <f>IF(ISERROR(VLOOKUP(A279,classifications!A:C,3,FALSE)),0,VLOOKUP(A279,classifications!A:C,3,FALSE))</f>
        <v>0</v>
      </c>
      <c r="C279" s="31" t="s">
        <v>151</v>
      </c>
      <c r="D279" s="49" t="str">
        <f>VLOOKUP($C279,classifications!$C:$J,4,FALSE)</f>
        <v>SD</v>
      </c>
      <c r="E279" s="49">
        <f>VLOOKUP(C279,classifications!C:K,9,FALSE)</f>
        <v>0</v>
      </c>
      <c r="F279" s="59">
        <f t="shared" si="96"/>
        <v>335.5</v>
      </c>
      <c r="G279" s="105"/>
      <c r="H279" s="60">
        <f t="shared" si="97"/>
        <v>335.5</v>
      </c>
      <c r="I279" s="112">
        <f>IF(H279="","",IF($I$8="A",(RANK(H279,H$11:H$355,1)+COUNTIF(H$11:H279,H279)-1),(RANK(H279,H$11:H$355)+COUNTIF(H$11:H279,H279)-1)))</f>
        <v>7</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f>HLOOKUP($AX$9&amp;$AX$10,Data!$A$1:$ZZ$2000,(MATCH($C279,Data!$A$1:$A$2000,0)),FALSE)</f>
        <v>335.5</v>
      </c>
      <c r="AY279" s="156"/>
      <c r="AZ279" s="44"/>
    </row>
    <row r="280" spans="1:52">
      <c r="A280" s="84" t="str">
        <f>$D$1&amp;270</f>
        <v>SD270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558.79999999999995</v>
      </c>
      <c r="G280" s="105"/>
      <c r="H280" s="60">
        <f t="shared" si="97"/>
        <v>558.79999999999995</v>
      </c>
      <c r="I280" s="112">
        <f>IF(H280="","",IF($I$8="A",(RANK(H280,H$11:H$355,1)+COUNTIF(H$11:H280,H280)-1),(RANK(H280,H$11:H$355)+COUNTIF(H$11:H280,H280)-1)))</f>
        <v>149</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558.79999999999995</v>
      </c>
      <c r="AY280" s="156"/>
      <c r="AZ280" s="44"/>
    </row>
    <row r="281" spans="1:52">
      <c r="A281" s="84" t="str">
        <f>$D$1&amp;271</f>
        <v>SD271</v>
      </c>
      <c r="B281" s="85">
        <f>IF(ISERROR(VLOOKUP(A281,classifications!A:C,3,FALSE)),0,VLOOKUP(A281,classifications!A:C,3,FALSE))</f>
        <v>0</v>
      </c>
      <c r="C281" s="31" t="s">
        <v>248</v>
      </c>
      <c r="D281" s="49" t="str">
        <f>VLOOKUP($C281,classifications!$C:$J,4,FALSE)</f>
        <v>MD</v>
      </c>
      <c r="E281" s="49">
        <f>VLOOKUP(C281,classifications!C:K,9,FALSE)</f>
        <v>0</v>
      </c>
      <c r="F281" s="59">
        <f t="shared" si="96"/>
        <v>584.1</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584.1</v>
      </c>
      <c r="AY281" s="156"/>
      <c r="AZ281" s="44"/>
    </row>
    <row r="282" spans="1:52">
      <c r="A282" s="84" t="str">
        <f>$D$1&amp;272</f>
        <v>SD272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475.6</v>
      </c>
      <c r="G282" s="105"/>
      <c r="H282" s="60">
        <f t="shared" si="97"/>
        <v>475.6</v>
      </c>
      <c r="I282" s="112">
        <f>IF(H282="","",IF($I$8="A",(RANK(H282,H$11:H$355,1)+COUNTIF(H$11:H282,H282)-1),(RANK(H282,H$11:H$355)+COUNTIF(H$11:H282,H282)-1)))</f>
        <v>78</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475.6</v>
      </c>
      <c r="AY282" s="156"/>
      <c r="AZ282" s="44"/>
    </row>
    <row r="283" spans="1:52">
      <c r="A283" s="84" t="str">
        <f>$D$1&amp;273</f>
        <v>SD273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601.1</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601.1</v>
      </c>
      <c r="AY283" s="156"/>
      <c r="AZ283" s="44"/>
    </row>
    <row r="284" spans="1:52">
      <c r="A284" s="84" t="str">
        <f>$D$1&amp;274</f>
        <v>SD274</v>
      </c>
      <c r="B284" s="85">
        <f>IF(ISERROR(VLOOKUP(A284,classifications!A:C,3,FALSE)),0,VLOOKUP(A284,classifications!A:C,3,FALSE))</f>
        <v>0</v>
      </c>
      <c r="C284" s="31" t="s">
        <v>154</v>
      </c>
      <c r="D284" s="49" t="str">
        <f>VLOOKUP($C284,classifications!$C:$J,4,FALSE)</f>
        <v>SD</v>
      </c>
      <c r="E284" s="49">
        <f>VLOOKUP(C284,classifications!C:K,9,FALSE)</f>
        <v>0</v>
      </c>
      <c r="F284" s="59">
        <f t="shared" si="96"/>
        <v>404.6</v>
      </c>
      <c r="G284" s="105"/>
      <c r="H284" s="60">
        <f t="shared" si="97"/>
        <v>404.6</v>
      </c>
      <c r="I284" s="112">
        <f>IF(H284="","",IF($I$8="A",(RANK(H284,H$11:H$355,1)+COUNTIF(H$11:H284,H284)-1),(RANK(H284,H$11:H$355)+COUNTIF(H$11:H284,H284)-1)))</f>
        <v>26</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404.6</v>
      </c>
      <c r="AY284" s="156"/>
      <c r="AZ284" s="44"/>
    </row>
    <row r="285" spans="1:52">
      <c r="A285" s="84" t="str">
        <f>$D$1&amp;275</f>
        <v>SD275</v>
      </c>
      <c r="B285" s="85">
        <f>IF(ISERROR(VLOOKUP(A285,classifications!A:C,3,FALSE)),0,VLOOKUP(A285,classifications!A:C,3,FALSE))</f>
        <v>0</v>
      </c>
      <c r="C285" s="31" t="s">
        <v>155</v>
      </c>
      <c r="D285" s="49" t="str">
        <f>VLOOKUP($C285,classifications!$C:$J,4,FALSE)</f>
        <v>SD</v>
      </c>
      <c r="E285" s="49">
        <f>VLOOKUP(C285,classifications!C:K,9,FALSE)</f>
        <v>0</v>
      </c>
      <c r="F285" s="59">
        <f t="shared" si="96"/>
        <v>534.70000000000005</v>
      </c>
      <c r="G285" s="105"/>
      <c r="H285" s="60">
        <f t="shared" si="97"/>
        <v>534.70000000000005</v>
      </c>
      <c r="I285" s="112">
        <f>IF(H285="","",IF($I$8="A",(RANK(H285,H$11:H$355,1)+COUNTIF(H$11:H285,H285)-1),(RANK(H285,H$11:H$355)+COUNTIF(H$11:H285,H285)-1)))</f>
        <v>132</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534.70000000000005</v>
      </c>
      <c r="AY285" s="156"/>
      <c r="AZ285" s="44"/>
    </row>
    <row r="286" spans="1:52">
      <c r="A286" s="84" t="str">
        <f>$D$1&amp;276</f>
        <v>SD276</v>
      </c>
      <c r="B286" s="85">
        <f>IF(ISERROR(VLOOKUP(A286,classifications!A:C,3,FALSE)),0,VLOOKUP(A286,classifications!A:C,3,FALSE))</f>
        <v>0</v>
      </c>
      <c r="C286" s="31" t="s">
        <v>249</v>
      </c>
      <c r="D286" s="49" t="str">
        <f>VLOOKUP($C286,classifications!$C:$J,4,FALSE)</f>
        <v>MD</v>
      </c>
      <c r="E286" s="49">
        <f>VLOOKUP(C286,classifications!C:K,9,FALSE)</f>
        <v>0</v>
      </c>
      <c r="F286" s="59">
        <f t="shared" si="96"/>
        <v>362.6</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362.6</v>
      </c>
      <c r="AY286" s="156"/>
      <c r="AZ286" s="44"/>
    </row>
    <row r="287" spans="1:52">
      <c r="A287" s="84" t="str">
        <f>$D$1&amp;277</f>
        <v>SD277</v>
      </c>
      <c r="B287" s="85">
        <f>IF(ISERROR(VLOOKUP(A287,classifications!A:C,3,FALSE)),0,VLOOKUP(A287,classifications!A:C,3,FALSE))</f>
        <v>0</v>
      </c>
      <c r="C287" s="31" t="s">
        <v>290</v>
      </c>
      <c r="D287" s="49" t="str">
        <f>VLOOKUP($C287,classifications!$C:$J,4,FALSE)</f>
        <v>UA</v>
      </c>
      <c r="E287" s="49">
        <f>VLOOKUP(C287,classifications!C:K,9,FALSE)</f>
        <v>0</v>
      </c>
      <c r="F287" s="59">
        <f t="shared" si="96"/>
        <v>783</v>
      </c>
      <c r="G287" s="105"/>
      <c r="H287" s="60" t="str">
        <f t="shared" si="97"/>
        <v/>
      </c>
      <c r="I287" s="112" t="str">
        <f>IF(H287="","",IF($I$8="A",(RANK(H287,H$11:H$355,1)+COUNTIF(H$11:H287,H287)-1),(RANK(H287,H$11:H$355)+COUNTIF(H$11:H287,H287)-1)))</f>
        <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783</v>
      </c>
      <c r="AY287" s="156"/>
      <c r="AZ287" s="44"/>
    </row>
    <row r="288" spans="1:52">
      <c r="A288" s="84" t="str">
        <f>$D$1&amp;278</f>
        <v>SD278</v>
      </c>
      <c r="B288" s="85">
        <f>IF(ISERROR(VLOOKUP(A288,classifications!A:C,3,FALSE)),0,VLOOKUP(A288,classifications!A:C,3,FALSE))</f>
        <v>0</v>
      </c>
      <c r="C288" s="31" t="s">
        <v>291</v>
      </c>
      <c r="D288" s="49" t="str">
        <f>VLOOKUP($C288,classifications!$C:$J,4,FALSE)</f>
        <v>UA</v>
      </c>
      <c r="E288" s="49">
        <f>VLOOKUP(C288,classifications!C:K,9,FALSE)</f>
        <v>0</v>
      </c>
      <c r="F288" s="59">
        <f t="shared" si="96"/>
        <v>614.79999999999995</v>
      </c>
      <c r="G288" s="105"/>
      <c r="H288" s="60" t="str">
        <f t="shared" si="97"/>
        <v/>
      </c>
      <c r="I288" s="112" t="str">
        <f>IF(H288="","",IF($I$8="A",(RANK(H288,H$11:H$355,1)+COUNTIF(H$11:H288,H288)-1),(RANK(H288,H$11:H$355)+COUNTIF(H$11:H288,H288)-1)))</f>
        <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614.79999999999995</v>
      </c>
      <c r="AY288" s="156"/>
      <c r="AZ288" s="44"/>
    </row>
    <row r="289" spans="1:52">
      <c r="A289" s="84" t="str">
        <f>$D$1&amp;279</f>
        <v>SD279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405.9</v>
      </c>
      <c r="G289" s="105"/>
      <c r="H289" s="60">
        <f t="shared" si="97"/>
        <v>405.9</v>
      </c>
      <c r="I289" s="112">
        <f>IF(H289="","",IF($I$8="A",(RANK(H289,H$11:H$355,1)+COUNTIF(H$11:H289,H289)-1),(RANK(H289,H$11:H$355)+COUNTIF(H$11:H289,H289)-1)))</f>
        <v>27</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405.9</v>
      </c>
      <c r="AY289" s="156"/>
      <c r="AZ289" s="44"/>
    </row>
    <row r="290" spans="1:52">
      <c r="A290" s="84" t="str">
        <f>$D$1&amp;280</f>
        <v>SD280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299.8</v>
      </c>
      <c r="G290" s="105"/>
      <c r="H290" s="60">
        <f t="shared" si="97"/>
        <v>299.8</v>
      </c>
      <c r="I290" s="112">
        <f>IF(H290="","",IF($I$8="A",(RANK(H290,H$11:H$355,1)+COUNTIF(H$11:H290,H290)-1),(RANK(H290,H$11:H$355)+COUNTIF(H$11:H290,H290)-1)))</f>
        <v>2</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299.8</v>
      </c>
      <c r="AY290" s="156"/>
      <c r="AZ290" s="44"/>
    </row>
    <row r="291" spans="1:52">
      <c r="A291" s="84" t="str">
        <f>$D$1&amp;281</f>
        <v>SD281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588.6</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588.6</v>
      </c>
      <c r="AY291" s="156"/>
      <c r="AZ291" s="44"/>
    </row>
    <row r="292" spans="1:52">
      <c r="A292" s="84" t="str">
        <f>$D$1&amp;282</f>
        <v>SD282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507.9</v>
      </c>
      <c r="G292" s="105"/>
      <c r="H292" s="60">
        <f t="shared" si="97"/>
        <v>507.9</v>
      </c>
      <c r="I292" s="112">
        <f>IF(H292="","",IF($I$8="A",(RANK(H292,H$11:H$355,1)+COUNTIF(H$11:H292,H292)-1),(RANK(H292,H$11:H$355)+COUNTIF(H$11:H292,H292)-1)))</f>
        <v>107</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507.9</v>
      </c>
      <c r="AY292" s="156"/>
      <c r="AZ292" s="44"/>
    </row>
    <row r="293" spans="1:52">
      <c r="A293" s="84" t="str">
        <f>$D$1&amp;283</f>
        <v>SD283</v>
      </c>
      <c r="B293" s="85">
        <f>IF(ISERROR(VLOOKUP(A293,classifications!A:C,3,FALSE)),0,VLOOKUP(A293,classifications!A:C,3,FALSE))</f>
        <v>0</v>
      </c>
      <c r="C293" s="31" t="s">
        <v>250</v>
      </c>
      <c r="D293" s="49" t="str">
        <f>VLOOKUP($C293,classifications!$C:$J,4,FALSE)</f>
        <v>MD</v>
      </c>
      <c r="E293" s="49">
        <f>VLOOKUP(C293,classifications!C:K,9,FALSE)</f>
        <v>0</v>
      </c>
      <c r="F293" s="59">
        <f t="shared" si="96"/>
        <v>658.3</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658.3</v>
      </c>
      <c r="AY293" s="156"/>
      <c r="AZ293" s="44"/>
    </row>
    <row r="294" spans="1:52">
      <c r="A294" s="84" t="str">
        <f>$D$1&amp;284</f>
        <v>SD284</v>
      </c>
      <c r="B294" s="85">
        <f>IF(ISERROR(VLOOKUP(A294,classifications!A:C,3,FALSE)),0,VLOOKUP(A294,classifications!A:C,3,FALSE))</f>
        <v>0</v>
      </c>
      <c r="C294" s="31" t="s">
        <v>329</v>
      </c>
      <c r="D294" s="49" t="str">
        <f>VLOOKUP($C294,classifications!$C:$J,4,FALSE)</f>
        <v>SC</v>
      </c>
      <c r="E294" s="49">
        <f>VLOOKUP(C294,classifications!C:K,9,FALSE)</f>
        <v>0</v>
      </c>
      <c r="F294" s="59">
        <f t="shared" si="96"/>
        <v>479.1</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479.1</v>
      </c>
      <c r="AY294" s="156"/>
      <c r="AZ294" s="44"/>
    </row>
    <row r="295" spans="1:52">
      <c r="A295" s="84" t="str">
        <f>$D$1&amp;285</f>
        <v>SD285</v>
      </c>
      <c r="B295" s="85">
        <f>IF(ISERROR(VLOOKUP(A295,classifications!A:C,3,FALSE)),0,VLOOKUP(A295,classifications!A:C,3,FALSE))</f>
        <v>0</v>
      </c>
      <c r="C295" s="31" t="s">
        <v>159</v>
      </c>
      <c r="D295" s="49" t="str">
        <f>VLOOKUP($C295,classifications!$C:$J,4,FALSE)</f>
        <v>SD</v>
      </c>
      <c r="E295" s="49">
        <f>VLOOKUP(C295,classifications!C:K,9,FALSE)</f>
        <v>0</v>
      </c>
      <c r="F295" s="59">
        <f t="shared" si="96"/>
        <v>364.9</v>
      </c>
      <c r="G295" s="105"/>
      <c r="H295" s="60">
        <f t="shared" si="97"/>
        <v>364.9</v>
      </c>
      <c r="I295" s="112">
        <f>IF(H295="","",IF($I$8="A",(RANK(H295,H$11:H$355,1)+COUNTIF(H$11:H295,H295)-1),(RANK(H295,H$11:H$355)+COUNTIF(H$11:H295,H295)-1)))</f>
        <v>13</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364.9</v>
      </c>
      <c r="AY295" s="156"/>
      <c r="AZ295" s="44"/>
    </row>
    <row r="296" spans="1:52">
      <c r="A296" s="84" t="str">
        <f>$D$1&amp;286</f>
        <v>SD286</v>
      </c>
      <c r="B296" s="85">
        <f>IF(ISERROR(VLOOKUP(A296,classifications!A:C,3,FALSE)),0,VLOOKUP(A296,classifications!A:C,3,FALSE))</f>
        <v>0</v>
      </c>
      <c r="C296" s="31" t="s">
        <v>218</v>
      </c>
      <c r="D296" s="49" t="str">
        <f>VLOOKUP($C296,classifications!$C:$J,4,FALSE)</f>
        <v>L</v>
      </c>
      <c r="E296" s="49">
        <f>VLOOKUP(C296,classifications!C:K,9,FALSE)</f>
        <v>0</v>
      </c>
      <c r="F296" s="59">
        <f t="shared" si="96"/>
        <v>479.1</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479.1</v>
      </c>
      <c r="AY296" s="156"/>
      <c r="AZ296" s="44"/>
    </row>
    <row r="297" spans="1:52">
      <c r="A297" s="84" t="str">
        <f>$D$1&amp;287</f>
        <v>SD287</v>
      </c>
      <c r="B297" s="85">
        <f>IF(ISERROR(VLOOKUP(A297,classifications!A:C,3,FALSE)),0,VLOOKUP(A297,classifications!A:C,3,FALSE))</f>
        <v>0</v>
      </c>
      <c r="C297" s="31" t="s">
        <v>160</v>
      </c>
      <c r="D297" s="49" t="str">
        <f>VLOOKUP($C297,classifications!$C:$J,4,FALSE)</f>
        <v>SD</v>
      </c>
      <c r="E297" s="49">
        <f>VLOOKUP(C297,classifications!C:K,9,FALSE)</f>
        <v>0</v>
      </c>
      <c r="F297" s="59">
        <f t="shared" si="96"/>
        <v>532.6</v>
      </c>
      <c r="G297" s="105"/>
      <c r="H297" s="60">
        <f t="shared" si="97"/>
        <v>532.6</v>
      </c>
      <c r="I297" s="112">
        <f>IF(H297="","",IF($I$8="A",(RANK(H297,H$11:H$355,1)+COUNTIF(H$11:H297,H297)-1),(RANK(H297,H$11:H$355)+COUNTIF(H$11:H297,H297)-1)))</f>
        <v>131</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532.6</v>
      </c>
      <c r="AY297" s="156"/>
      <c r="AZ297" s="44"/>
    </row>
    <row r="298" spans="1:52">
      <c r="A298" s="84" t="str">
        <f>$D$1&amp;288</f>
        <v>SD288</v>
      </c>
      <c r="B298" s="85">
        <f>IF(ISERROR(VLOOKUP(A298,classifications!A:C,3,FALSE)),0,VLOOKUP(A298,classifications!A:C,3,FALSE))</f>
        <v>0</v>
      </c>
      <c r="C298" s="31" t="s">
        <v>292</v>
      </c>
      <c r="D298" s="49" t="str">
        <f>VLOOKUP($C298,classifications!$C:$J,4,FALSE)</f>
        <v>UA</v>
      </c>
      <c r="E298" s="49">
        <f>VLOOKUP(C298,classifications!C:K,9,FALSE)</f>
        <v>0</v>
      </c>
      <c r="F298" s="59">
        <f t="shared" si="96"/>
        <v>573</v>
      </c>
      <c r="G298" s="105"/>
      <c r="H298" s="60" t="str">
        <f t="shared" si="97"/>
        <v/>
      </c>
      <c r="I298" s="112" t="str">
        <f>IF(H298="","",IF($I$8="A",(RANK(H298,H$11:H$355,1)+COUNTIF(H$11:H298,H298)-1),(RANK(H298,H$11:H$355)+COUNTIF(H$11:H298,H298)-1)))</f>
        <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573</v>
      </c>
      <c r="AY298" s="156"/>
      <c r="AZ298" s="44"/>
    </row>
    <row r="299" spans="1:52">
      <c r="A299" s="84" t="str">
        <f>$D$1&amp;289</f>
        <v>SD289</v>
      </c>
      <c r="B299" s="85">
        <f>IF(ISERROR(VLOOKUP(A299,classifications!A:C,3,FALSE)),0,VLOOKUP(A299,classifications!A:C,3,FALSE))</f>
        <v>0</v>
      </c>
      <c r="C299" s="31" t="s">
        <v>251</v>
      </c>
      <c r="D299" s="49" t="str">
        <f>VLOOKUP($C299,classifications!$C:$J,4,FALSE)</f>
        <v>MD</v>
      </c>
      <c r="E299" s="49">
        <f>VLOOKUP(C299,classifications!C:K,9,FALSE)</f>
        <v>0</v>
      </c>
      <c r="F299" s="59">
        <f t="shared" si="96"/>
        <v>407.7</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407.7</v>
      </c>
      <c r="AY299" s="156"/>
      <c r="AZ299" s="44"/>
    </row>
    <row r="300" spans="1:52">
      <c r="A300" s="84" t="str">
        <f>$D$1&amp;290</f>
        <v>SD290</v>
      </c>
      <c r="B300" s="85">
        <f>IF(ISERROR(VLOOKUP(A300,classifications!A:C,3,FALSE)),0,VLOOKUP(A300,classifications!A:C,3,FALSE))</f>
        <v>0</v>
      </c>
      <c r="C300" s="31" t="s">
        <v>161</v>
      </c>
      <c r="D300" s="49" t="str">
        <f>VLOOKUP($C300,classifications!$C:$J,4,FALSE)</f>
        <v>SD</v>
      </c>
      <c r="E300" s="49">
        <f>VLOOKUP(C300,classifications!C:K,9,FALSE)</f>
        <v>0</v>
      </c>
      <c r="F300" s="59">
        <f t="shared" si="96"/>
        <v>588.1</v>
      </c>
      <c r="G300" s="105"/>
      <c r="H300" s="60">
        <f t="shared" si="97"/>
        <v>588.1</v>
      </c>
      <c r="I300" s="112">
        <f>IF(H300="","",IF($I$8="A",(RANK(H300,H$11:H$355,1)+COUNTIF(H$11:H300,H300)-1),(RANK(H300,H$11:H$355)+COUNTIF(H$11:H300,H300)-1)))</f>
        <v>164</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588.1</v>
      </c>
      <c r="AY300" s="156"/>
      <c r="AZ300" s="44"/>
    </row>
    <row r="301" spans="1:52">
      <c r="A301" s="84" t="str">
        <f>$D$1&amp;291</f>
        <v>SD291</v>
      </c>
      <c r="B301" s="85">
        <f>IF(ISERROR(VLOOKUP(A301,classifications!A:C,3,FALSE)),0,VLOOKUP(A301,classifications!A:C,3,FALSE))</f>
        <v>0</v>
      </c>
      <c r="C301" s="31" t="s">
        <v>162</v>
      </c>
      <c r="D301" s="49" t="str">
        <f>VLOOKUP($C301,classifications!$C:$J,4,FALSE)</f>
        <v>SD</v>
      </c>
      <c r="E301" s="49">
        <f>VLOOKUP(C301,classifications!C:K,9,FALSE)</f>
        <v>0</v>
      </c>
      <c r="F301" s="59">
        <f t="shared" si="96"/>
        <v>379.6</v>
      </c>
      <c r="G301" s="105"/>
      <c r="H301" s="60">
        <f t="shared" si="97"/>
        <v>379.6</v>
      </c>
      <c r="I301" s="112">
        <f>IF(H301="","",IF($I$8="A",(RANK(H301,H$11:H$355,1)+COUNTIF(H$11:H301,H301)-1),(RANK(H301,H$11:H$355)+COUNTIF(H$11:H301,H301)-1)))</f>
        <v>18</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379.6</v>
      </c>
      <c r="AY301" s="156"/>
      <c r="AZ301" s="44"/>
    </row>
    <row r="302" spans="1:52">
      <c r="A302" s="84" t="str">
        <f>$D$1&amp;292</f>
        <v>SD292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v>
      </c>
      <c r="I302" s="112" t="e">
        <f>IF(H302="","",IF($I$8="A",(RANK(H302,H$11:H$355,1)+COUNTIF(H$11:H302,H302)-1),(RANK(H302,H$11:H$355)+COUNTIF(H$11:H302,H302)-1)))</f>
        <v>#VALUE!</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SD293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369.6</v>
      </c>
      <c r="G303" s="105"/>
      <c r="H303" s="60">
        <f t="shared" si="97"/>
        <v>369.6</v>
      </c>
      <c r="I303" s="112">
        <f>IF(H303="","",IF($I$8="A",(RANK(H303,H$11:H$355,1)+COUNTIF(H$11:H303,H303)-1),(RANK(H303,H$11:H$355)+COUNTIF(H$11:H303,H303)-1)))</f>
        <v>14</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369.6</v>
      </c>
      <c r="AY303" s="156"/>
      <c r="AZ303" s="44"/>
    </row>
    <row r="304" spans="1:52">
      <c r="A304" s="84" t="str">
        <f>$D$1&amp;294</f>
        <v>SD294</v>
      </c>
      <c r="B304" s="85">
        <f>IF(ISERROR(VLOOKUP(A304,classifications!A:C,3,FALSE)),0,VLOOKUP(A304,classifications!A:C,3,FALSE))</f>
        <v>0</v>
      </c>
      <c r="C304" s="31" t="s">
        <v>813</v>
      </c>
      <c r="D304" s="49" t="str">
        <f>VLOOKUP($C304,classifications!$C:$J,4,FALSE)</f>
        <v>UA</v>
      </c>
      <c r="E304" s="49">
        <f>VLOOKUP(C304,classifications!C:K,9,FALSE)</f>
        <v>0</v>
      </c>
      <c r="F304" s="59">
        <f t="shared" si="96"/>
        <v>597</v>
      </c>
      <c r="G304" s="105"/>
      <c r="H304" s="60" t="str">
        <f t="shared" si="97"/>
        <v/>
      </c>
      <c r="I304" s="112" t="str">
        <f>IF(H304="","",IF($I$8="A",(RANK(H304,H$11:H$355,1)+COUNTIF(H$11:H304,H304)-1),(RANK(H304,H$11:H$355)+COUNTIF(H$11:H304,H304)-1)))</f>
        <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597</v>
      </c>
      <c r="AY304" s="156"/>
      <c r="AZ304" s="44"/>
    </row>
    <row r="305" spans="1:52">
      <c r="A305" s="84" t="str">
        <f>$D$1&amp;295</f>
        <v>SD295</v>
      </c>
      <c r="B305" s="85">
        <f>IF(ISERROR(VLOOKUP(A305,classifications!A:C,3,FALSE)),0,VLOOKUP(A305,classifications!A:C,3,FALSE))</f>
        <v>0</v>
      </c>
      <c r="C305" s="31" t="s">
        <v>165</v>
      </c>
      <c r="D305" s="49" t="str">
        <f>VLOOKUP($C305,classifications!$C:$J,4,FALSE)</f>
        <v>SD</v>
      </c>
      <c r="E305" s="49">
        <f>VLOOKUP(C305,classifications!C:K,9,FALSE)</f>
        <v>0</v>
      </c>
      <c r="F305" s="59">
        <f t="shared" si="96"/>
        <v>427.6</v>
      </c>
      <c r="G305" s="105"/>
      <c r="H305" s="60">
        <f t="shared" si="97"/>
        <v>427.6</v>
      </c>
      <c r="I305" s="112">
        <f>IF(H305="","",IF($I$8="A",(RANK(H305,H$11:H$355,1)+COUNTIF(H$11:H305,H305)-1),(RANK(H305,H$11:H$355)+COUNTIF(H$11:H305,H305)-1)))</f>
        <v>40</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427.6</v>
      </c>
      <c r="AY305" s="156"/>
      <c r="AZ305" s="44"/>
    </row>
    <row r="306" spans="1:52">
      <c r="A306" s="84" t="str">
        <f>$D$1&amp;296</f>
        <v>SD296</v>
      </c>
      <c r="B306" s="85">
        <f>IF(ISERROR(VLOOKUP(A306,classifications!A:C,3,FALSE)),0,VLOOKUP(A306,classifications!A:C,3,FALSE))</f>
        <v>0</v>
      </c>
      <c r="C306" s="31" t="s">
        <v>166</v>
      </c>
      <c r="D306" s="49" t="str">
        <f>VLOOKUP($C306,classifications!$C:$J,4,FALSE)</f>
        <v>SD</v>
      </c>
      <c r="E306" s="49">
        <f>VLOOKUP(C306,classifications!C:K,9,FALSE)</f>
        <v>0</v>
      </c>
      <c r="F306" s="59">
        <f t="shared" si="96"/>
        <v>523.29999999999995</v>
      </c>
      <c r="G306" s="105"/>
      <c r="H306" s="60">
        <f t="shared" si="97"/>
        <v>523.29999999999995</v>
      </c>
      <c r="I306" s="112">
        <f>IF(H306="","",IF($I$8="A",(RANK(H306,H$11:H$355,1)+COUNTIF(H$11:H306,H306)-1),(RANK(H306,H$11:H$355)+COUNTIF(H$11:H306,H306)-1)))</f>
        <v>119</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523.29999999999995</v>
      </c>
      <c r="AY306" s="156"/>
      <c r="AZ306" s="44"/>
    </row>
    <row r="307" spans="1:52">
      <c r="A307" s="84" t="str">
        <f>$D$1&amp;297</f>
        <v>SD297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459.6</v>
      </c>
      <c r="G307" s="105"/>
      <c r="H307" s="60">
        <f t="shared" si="97"/>
        <v>459.6</v>
      </c>
      <c r="I307" s="112">
        <f>IF(H307="","",IF($I$8="A",(RANK(H307,H$11:H$355,1)+COUNTIF(H$11:H307,H307)-1),(RANK(H307,H$11:H$355)+COUNTIF(H$11:H307,H307)-1)))</f>
        <v>64</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459.6</v>
      </c>
      <c r="AY307" s="156"/>
      <c r="AZ307" s="44"/>
    </row>
    <row r="308" spans="1:52">
      <c r="A308" s="84" t="str">
        <f>$D$1&amp;298</f>
        <v>SD298</v>
      </c>
      <c r="B308" s="85">
        <f>IF(ISERROR(VLOOKUP(A308,classifications!A:C,3,FALSE)),0,VLOOKUP(A308,classifications!A:C,3,FALSE))</f>
        <v>0</v>
      </c>
      <c r="C308" s="31" t="s">
        <v>168</v>
      </c>
      <c r="D308" s="49" t="str">
        <f>VLOOKUP($C308,classifications!$C:$J,4,FALSE)</f>
        <v>SD</v>
      </c>
      <c r="E308" s="49">
        <f>VLOOKUP(C308,classifications!C:K,9,FALSE)</f>
        <v>0</v>
      </c>
      <c r="F308" s="59">
        <f t="shared" si="96"/>
        <v>508.6</v>
      </c>
      <c r="G308" s="105"/>
      <c r="H308" s="60">
        <f t="shared" si="97"/>
        <v>508.6</v>
      </c>
      <c r="I308" s="112">
        <f>IF(H308="","",IF($I$8="A",(RANK(H308,H$11:H$355,1)+COUNTIF(H$11:H308,H308)-1),(RANK(H308,H$11:H$355)+COUNTIF(H$11:H308,H308)-1)))</f>
        <v>108</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508.6</v>
      </c>
      <c r="AY308" s="156"/>
      <c r="AZ308" s="44"/>
    </row>
    <row r="309" spans="1:52">
      <c r="A309" s="84" t="str">
        <f>$D$1&amp;299</f>
        <v>SD299</v>
      </c>
      <c r="B309" s="85">
        <f>IF(ISERROR(VLOOKUP(A309,classifications!A:C,3,FALSE)),0,VLOOKUP(A309,classifications!A:C,3,FALSE))</f>
        <v>0</v>
      </c>
      <c r="C309" s="31" t="s">
        <v>169</v>
      </c>
      <c r="D309" s="49" t="str">
        <f>VLOOKUP($C309,classifications!$C:$J,4,FALSE)</f>
        <v>SD</v>
      </c>
      <c r="E309" s="49">
        <f>VLOOKUP(C309,classifications!C:K,9,FALSE)</f>
        <v>0</v>
      </c>
      <c r="F309" s="59">
        <f t="shared" si="96"/>
        <v>333.6</v>
      </c>
      <c r="G309" s="105"/>
      <c r="H309" s="60">
        <f t="shared" si="97"/>
        <v>333.6</v>
      </c>
      <c r="I309" s="112">
        <f>IF(H309="","",IF($I$8="A",(RANK(H309,H$11:H$355,1)+COUNTIF(H$11:H309,H309)-1),(RANK(H309,H$11:H$355)+COUNTIF(H$11:H309,H309)-1)))</f>
        <v>6</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333.6</v>
      </c>
      <c r="AY309" s="156"/>
      <c r="AZ309" s="44"/>
    </row>
    <row r="310" spans="1:52">
      <c r="A310" s="84" t="str">
        <f>$D$1&amp;300</f>
        <v>SD300</v>
      </c>
      <c r="B310" s="85">
        <f>IF(ISERROR(VLOOKUP(A310,classifications!A:C,3,FALSE)),0,VLOOKUP(A310,classifications!A:C,3,FALSE))</f>
        <v>0</v>
      </c>
      <c r="C310" s="31" t="s">
        <v>293</v>
      </c>
      <c r="D310" s="49" t="str">
        <f>VLOOKUP($C310,classifications!$C:$J,4,FALSE)</f>
        <v>UA</v>
      </c>
      <c r="E310" s="49">
        <f>VLOOKUP(C310,classifications!C:K,9,FALSE)</f>
        <v>0</v>
      </c>
      <c r="F310" s="59">
        <f t="shared" si="96"/>
        <v>804.5</v>
      </c>
      <c r="G310" s="105"/>
      <c r="H310" s="60" t="str">
        <f t="shared" si="97"/>
        <v/>
      </c>
      <c r="I310" s="112" t="str">
        <f>IF(H310="","",IF($I$8="A",(RANK(H310,H$11:H$355,1)+COUNTIF(H$11:H310,H310)-1),(RANK(H310,H$11:H$355)+COUNTIF(H$11:H310,H310)-1)))</f>
        <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804.5</v>
      </c>
      <c r="AY310" s="156"/>
      <c r="AZ310" s="44"/>
    </row>
    <row r="311" spans="1:52">
      <c r="A311" s="84" t="str">
        <f>$D$1&amp;301</f>
        <v>SD301</v>
      </c>
      <c r="B311" s="85">
        <f>IF(ISERROR(VLOOKUP(A311,classifications!A:C,3,FALSE)),0,VLOOKUP(A311,classifications!A:C,3,FALSE))</f>
        <v>0</v>
      </c>
      <c r="C311" s="31" t="s">
        <v>349</v>
      </c>
      <c r="D311" s="49" t="str">
        <f>VLOOKUP($C311,classifications!$C:$J,4,FALSE)</f>
        <v>SD</v>
      </c>
      <c r="E311" s="49">
        <f>VLOOKUP(C311,classifications!C:K,9,FALSE)</f>
        <v>0</v>
      </c>
      <c r="F311" s="59">
        <f t="shared" si="96"/>
        <v>480.3</v>
      </c>
      <c r="G311" s="105"/>
      <c r="H311" s="60">
        <f t="shared" si="97"/>
        <v>480.3</v>
      </c>
      <c r="I311" s="112">
        <f>IF(H311="","",IF($I$8="A",(RANK(H311,H$11:H$355,1)+COUNTIF(H$11:H311,H311)-1),(RANK(H311,H$11:H$355)+COUNTIF(H$11:H311,H311)-1)))</f>
        <v>84</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480.3</v>
      </c>
      <c r="AY311" s="156"/>
      <c r="AZ311" s="44"/>
    </row>
    <row r="312" spans="1:52">
      <c r="A312" s="84" t="str">
        <f>$D$1&amp;302</f>
        <v>SD302</v>
      </c>
      <c r="B312" s="85">
        <f>IF(ISERROR(VLOOKUP(A312,classifications!A:C,3,FALSE)),0,VLOOKUP(A312,classifications!A:C,3,FALSE))</f>
        <v>0</v>
      </c>
      <c r="C312" s="31" t="s">
        <v>294</v>
      </c>
      <c r="D312" s="49" t="str">
        <f>VLOOKUP($C312,classifications!$C:$J,4,FALSE)</f>
        <v>UA</v>
      </c>
      <c r="E312" s="49">
        <f>VLOOKUP(C312,classifications!C:K,9,FALSE)</f>
        <v>0</v>
      </c>
      <c r="F312" s="59">
        <f t="shared" si="96"/>
        <v>555.1</v>
      </c>
      <c r="G312" s="105"/>
      <c r="H312" s="60" t="str">
        <f t="shared" si="97"/>
        <v/>
      </c>
      <c r="I312" s="112" t="str">
        <f>IF(H312="","",IF($I$8="A",(RANK(H312,H$11:H$355,1)+COUNTIF(H$11:H312,H312)-1),(RANK(H312,H$11:H$355)+COUNTIF(H$11:H312,H312)-1)))</f>
        <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555.1</v>
      </c>
      <c r="AY312" s="156"/>
      <c r="AZ312" s="44"/>
    </row>
    <row r="313" spans="1:52">
      <c r="A313" s="84" t="str">
        <f>$D$1&amp;303</f>
        <v>SD303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358.4</v>
      </c>
      <c r="G313" s="105"/>
      <c r="H313" s="60">
        <f t="shared" si="97"/>
        <v>358.4</v>
      </c>
      <c r="I313" s="112">
        <f>IF(H313="","",IF($I$8="A",(RANK(H313,H$11:H$355,1)+COUNTIF(H$11:H313,H313)-1),(RANK(H313,H$11:H$355)+COUNTIF(H$11:H313,H313)-1)))</f>
        <v>12</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358.4</v>
      </c>
      <c r="AY313" s="156"/>
      <c r="AZ313" s="44"/>
    </row>
    <row r="314" spans="1:52">
      <c r="A314" s="84" t="str">
        <f>$D$1&amp;304</f>
        <v>SD304</v>
      </c>
      <c r="B314" s="85">
        <f>IF(ISERROR(VLOOKUP(A314,classifications!A:C,3,FALSE)),0,VLOOKUP(A314,classifications!A:C,3,FALSE))</f>
        <v>0</v>
      </c>
      <c r="C314" s="31" t="s">
        <v>219</v>
      </c>
      <c r="D314" s="49" t="str">
        <f>VLOOKUP($C314,classifications!$C:$J,4,FALSE)</f>
        <v>L</v>
      </c>
      <c r="E314" s="49">
        <f>VLOOKUP(C314,classifications!C:K,9,FALSE)</f>
        <v>0</v>
      </c>
      <c r="F314" s="59">
        <f t="shared" si="96"/>
        <v>514.5</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514.5</v>
      </c>
      <c r="AY314" s="156"/>
      <c r="AZ314" s="44"/>
    </row>
    <row r="315" spans="1:52">
      <c r="A315" s="84" t="str">
        <f>$D$1&amp;305</f>
        <v>SD305</v>
      </c>
      <c r="B315" s="85">
        <f>IF(ISERROR(VLOOKUP(A315,classifications!A:C,3,FALSE)),0,VLOOKUP(A315,classifications!A:C,3,FALSE))</f>
        <v>0</v>
      </c>
      <c r="C315" s="31" t="s">
        <v>252</v>
      </c>
      <c r="D315" s="49" t="str">
        <f>VLOOKUP($C315,classifications!$C:$J,4,FALSE)</f>
        <v>MD</v>
      </c>
      <c r="E315" s="49">
        <f>VLOOKUP(C315,classifications!C:K,9,FALSE)</f>
        <v>0</v>
      </c>
      <c r="F315" s="59">
        <f t="shared" si="96"/>
        <v>399.6</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399.6</v>
      </c>
      <c r="AY315" s="156"/>
      <c r="AZ315" s="44"/>
    </row>
    <row r="316" spans="1:52">
      <c r="A316" s="84" t="str">
        <f>$D$1&amp;306</f>
        <v>SD306</v>
      </c>
      <c r="B316" s="85">
        <f>IF(ISERROR(VLOOKUP(A316,classifications!A:C,3,FALSE)),0,VLOOKUP(A316,classifications!A:C,3,FALSE))</f>
        <v>0</v>
      </c>
      <c r="C316" s="31" t="s">
        <v>171</v>
      </c>
      <c r="D316" s="49" t="str">
        <f>VLOOKUP($C316,classifications!$C:$J,4,FALSE)</f>
        <v>SD</v>
      </c>
      <c r="E316" s="49">
        <f>VLOOKUP(C316,classifications!C:K,9,FALSE)</f>
        <v>0</v>
      </c>
      <c r="F316" s="59">
        <f t="shared" si="96"/>
        <v>438.3</v>
      </c>
      <c r="G316" s="105"/>
      <c r="H316" s="60">
        <f t="shared" si="97"/>
        <v>438.3</v>
      </c>
      <c r="I316" s="112">
        <f>IF(H316="","",IF($I$8="A",(RANK(H316,H$11:H$355,1)+COUNTIF(H$11:H316,H316)-1),(RANK(H316,H$11:H$355)+COUNTIF(H$11:H316,H316)-1)))</f>
        <v>46</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438.3</v>
      </c>
      <c r="AY316" s="156"/>
      <c r="AZ316" s="44"/>
    </row>
    <row r="317" spans="1:52">
      <c r="A317" s="84" t="str">
        <f>$D$1&amp;307</f>
        <v>SD307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472.7</v>
      </c>
      <c r="G317" s="105"/>
      <c r="H317" s="60">
        <f t="shared" si="97"/>
        <v>472.7</v>
      </c>
      <c r="I317" s="112">
        <f>IF(H317="","",IF($I$8="A",(RANK(H317,H$11:H$355,1)+COUNTIF(H$11:H317,H317)-1),(RANK(H317,H$11:H$355)+COUNTIF(H$11:H317,H317)-1)))</f>
        <v>74</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472.7</v>
      </c>
      <c r="AY317" s="156"/>
      <c r="AZ317" s="44"/>
    </row>
    <row r="318" spans="1:52">
      <c r="A318" s="84" t="str">
        <f>$D$1&amp;308</f>
        <v>SD308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325.2</v>
      </c>
      <c r="G318" s="105"/>
      <c r="H318" s="60">
        <f t="shared" si="97"/>
        <v>325.2</v>
      </c>
      <c r="I318" s="112">
        <f>IF(H318="","",IF($I$8="A",(RANK(H318,H$11:H$355,1)+COUNTIF(H$11:H318,H318)-1),(RANK(H318,H$11:H$355)+COUNTIF(H$11:H318,H318)-1)))</f>
        <v>4</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325.2</v>
      </c>
      <c r="AY318" s="156"/>
      <c r="AZ318" s="44"/>
    </row>
    <row r="319" spans="1:52">
      <c r="A319" s="84" t="str">
        <f>$D$1&amp;309</f>
        <v>SD309</v>
      </c>
      <c r="B319" s="85">
        <f>IF(ISERROR(VLOOKUP(A319,classifications!A:C,3,FALSE)),0,VLOOKUP(A319,classifications!A:C,3,FALSE))</f>
        <v>0</v>
      </c>
      <c r="C319" s="31" t="s">
        <v>253</v>
      </c>
      <c r="D319" s="49" t="str">
        <f>VLOOKUP($C319,classifications!$C:$J,4,FALSE)</f>
        <v>MD</v>
      </c>
      <c r="E319" s="49">
        <f>VLOOKUP(C319,classifications!C:K,9,FALSE)</f>
        <v>0</v>
      </c>
      <c r="F319" s="59">
        <f t="shared" si="96"/>
        <v>514.5</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514.5</v>
      </c>
      <c r="AY319" s="156"/>
      <c r="AZ319" s="44"/>
    </row>
    <row r="320" spans="1:52">
      <c r="A320" s="84" t="str">
        <f>$D$1&amp;310</f>
        <v>SD310</v>
      </c>
      <c r="B320" s="85">
        <f>IF(ISERROR(VLOOKUP(A320,classifications!A:C,3,FALSE)),0,VLOOKUP(A320,classifications!A:C,3,FALSE))</f>
        <v>0</v>
      </c>
      <c r="C320" s="31" t="s">
        <v>254</v>
      </c>
      <c r="D320" s="49" t="str">
        <f>VLOOKUP($C320,classifications!$C:$J,4,FALSE)</f>
        <v>MD</v>
      </c>
      <c r="E320" s="49">
        <f>VLOOKUP(C320,classifications!C:K,9,FALSE)</f>
        <v>0</v>
      </c>
      <c r="F320" s="59">
        <f t="shared" si="96"/>
        <v>661.7</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661.7</v>
      </c>
      <c r="AY320" s="156"/>
      <c r="AZ320" s="44"/>
    </row>
    <row r="321" spans="1:52">
      <c r="A321" s="84" t="str">
        <f>$D$1&amp;311</f>
        <v>SD311</v>
      </c>
      <c r="B321" s="85">
        <f>IF(ISERROR(VLOOKUP(A321,classifications!A:C,3,FALSE)),0,VLOOKUP(A321,classifications!A:C,3,FALSE))</f>
        <v>0</v>
      </c>
      <c r="C321" s="31" t="s">
        <v>220</v>
      </c>
      <c r="D321" s="49" t="str">
        <f>VLOOKUP($C321,classifications!$C:$J,4,FALSE)</f>
        <v>L</v>
      </c>
      <c r="E321" s="49">
        <f>VLOOKUP(C321,classifications!C:K,9,FALSE)</f>
        <v>0</v>
      </c>
      <c r="F321" s="59">
        <f t="shared" si="96"/>
        <v>643.4</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643.4</v>
      </c>
      <c r="AY321" s="156"/>
      <c r="AZ321" s="44"/>
    </row>
    <row r="322" spans="1:52">
      <c r="A322" s="84" t="str">
        <f>$D$1&amp;312</f>
        <v>SD312</v>
      </c>
      <c r="B322" s="85">
        <f>IF(ISERROR(VLOOKUP(A322,classifications!A:C,3,FALSE)),0,VLOOKUP(A322,classifications!A:C,3,FALSE))</f>
        <v>0</v>
      </c>
      <c r="C322" s="31" t="s">
        <v>221</v>
      </c>
      <c r="D322" s="49" t="str">
        <f>VLOOKUP($C322,classifications!$C:$J,4,FALSE)</f>
        <v>L</v>
      </c>
      <c r="E322" s="49">
        <f>VLOOKUP(C322,classifications!C:K,9,FALSE)</f>
        <v>0</v>
      </c>
      <c r="F322" s="59">
        <f t="shared" si="96"/>
        <v>525.4</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525.4</v>
      </c>
      <c r="AY322" s="156"/>
      <c r="AZ322" s="44"/>
    </row>
    <row r="323" spans="1:52">
      <c r="A323" s="84" t="str">
        <f>$D$1&amp;313</f>
        <v>SD313</v>
      </c>
      <c r="B323" s="85">
        <f>IF(ISERROR(VLOOKUP(A323,classifications!A:C,3,FALSE)),0,VLOOKUP(A323,classifications!A:C,3,FALSE))</f>
        <v>0</v>
      </c>
      <c r="C323" s="31" t="s">
        <v>295</v>
      </c>
      <c r="D323" s="49" t="str">
        <f>VLOOKUP($C323,classifications!$C:$J,4,FALSE)</f>
        <v>UA</v>
      </c>
      <c r="E323" s="49">
        <f>VLOOKUP(C323,classifications!C:K,9,FALSE)</f>
        <v>0</v>
      </c>
      <c r="F323" s="59">
        <f t="shared" si="96"/>
        <v>575.1</v>
      </c>
      <c r="G323" s="105"/>
      <c r="H323" s="60" t="str">
        <f t="shared" si="97"/>
        <v/>
      </c>
      <c r="I323" s="112" t="str">
        <f>IF(H323="","",IF($I$8="A",(RANK(H323,H$11:H$355,1)+COUNTIF(H$11:H323,H323)-1),(RANK(H323,H$11:H$355)+COUNTIF(H$11:H323,H323)-1)))</f>
        <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575.1</v>
      </c>
      <c r="AY323" s="156"/>
      <c r="AZ323" s="44"/>
    </row>
    <row r="324" spans="1:52">
      <c r="A324" s="84" t="str">
        <f>$D$1&amp;314</f>
        <v>SD314</v>
      </c>
      <c r="B324" s="85">
        <f>IF(ISERROR(VLOOKUP(A324,classifications!A:C,3,FALSE)),0,VLOOKUP(A324,classifications!A:C,3,FALSE))</f>
        <v>0</v>
      </c>
      <c r="C324" s="31" t="s">
        <v>174</v>
      </c>
      <c r="D324" s="49" t="str">
        <f>VLOOKUP($C324,classifications!$C:$J,4,FALSE)</f>
        <v>SD</v>
      </c>
      <c r="E324" s="49">
        <f>VLOOKUP(C324,classifications!C:K,9,FALSE)</f>
        <v>0</v>
      </c>
      <c r="F324" s="59">
        <f t="shared" si="96"/>
        <v>398.3</v>
      </c>
      <c r="G324" s="105"/>
      <c r="H324" s="60">
        <f t="shared" si="97"/>
        <v>398.3</v>
      </c>
      <c r="I324" s="112">
        <f>IF(H324="","",IF($I$8="A",(RANK(H324,H$11:H$355,1)+COUNTIF(H$11:H324,H324)-1),(RANK(H324,H$11:H$355)+COUNTIF(H$11:H324,H324)-1)))</f>
        <v>23</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398.3</v>
      </c>
      <c r="AY324" s="156"/>
      <c r="AZ324" s="44"/>
    </row>
    <row r="325" spans="1:52">
      <c r="A325" s="84" t="str">
        <f>$D$1&amp;315</f>
        <v>SD315</v>
      </c>
      <c r="B325" s="85">
        <f>IF(ISERROR(VLOOKUP(A325,classifications!A:C,3,FALSE)),0,VLOOKUP(A325,classifications!A:C,3,FALSE))</f>
        <v>0</v>
      </c>
      <c r="C325" s="31" t="s">
        <v>330</v>
      </c>
      <c r="D325" s="49" t="str">
        <f>VLOOKUP($C325,classifications!$C:$J,4,FALSE)</f>
        <v>SC</v>
      </c>
      <c r="E325" s="49">
        <f>VLOOKUP(C325,classifications!C:K,9,FALSE)</f>
        <v>0</v>
      </c>
      <c r="F325" s="59">
        <f t="shared" si="96"/>
        <v>509.1</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509.1</v>
      </c>
      <c r="AY325" s="156"/>
      <c r="AZ325" s="44"/>
    </row>
    <row r="326" spans="1:52">
      <c r="A326" s="84" t="str">
        <f>$D$1&amp;316</f>
        <v>SD316</v>
      </c>
      <c r="B326" s="85">
        <f>IF(ISERROR(VLOOKUP(A326,classifications!A:C,3,FALSE)),0,VLOOKUP(A326,classifications!A:C,3,FALSE))</f>
        <v>0</v>
      </c>
      <c r="C326" s="31" t="s">
        <v>175</v>
      </c>
      <c r="D326" s="49" t="str">
        <f>VLOOKUP($C326,classifications!$C:$J,4,FALSE)</f>
        <v>SD</v>
      </c>
      <c r="E326" s="49">
        <f>VLOOKUP(C326,classifications!C:K,9,FALSE)</f>
        <v>0</v>
      </c>
      <c r="F326" s="59">
        <f t="shared" si="96"/>
        <v>426.2</v>
      </c>
      <c r="G326" s="105"/>
      <c r="H326" s="60">
        <f t="shared" si="97"/>
        <v>426.2</v>
      </c>
      <c r="I326" s="112">
        <f>IF(H326="","",IF($I$8="A",(RANK(H326,H$11:H$355,1)+COUNTIF(H$11:H326,H326)-1),(RANK(H326,H$11:H$355)+COUNTIF(H$11:H326,H326)-1)))</f>
        <v>38</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426.2</v>
      </c>
      <c r="AY326" s="156"/>
      <c r="AZ326" s="44"/>
    </row>
    <row r="327" spans="1:52">
      <c r="A327" s="84" t="str">
        <f>$D$1&amp;317</f>
        <v>SD317</v>
      </c>
      <c r="B327" s="85">
        <f>IF(ISERROR(VLOOKUP(A327,classifications!A:C,3,FALSE)),0,VLOOKUP(A327,classifications!A:C,3,FALSE))</f>
        <v>0</v>
      </c>
      <c r="C327" s="31" t="s">
        <v>177</v>
      </c>
      <c r="D327" s="49" t="str">
        <f>VLOOKUP($C327,classifications!$C:$J,4,FALSE)</f>
        <v>SD</v>
      </c>
      <c r="E327" s="49">
        <f>VLOOKUP(C327,classifications!C:K,9,FALSE)</f>
        <v>0</v>
      </c>
      <c r="F327" s="59">
        <f t="shared" si="96"/>
        <v>388.9</v>
      </c>
      <c r="G327" s="105"/>
      <c r="H327" s="60">
        <f t="shared" si="97"/>
        <v>388.9</v>
      </c>
      <c r="I327" s="112">
        <f>IF(H327="","",IF($I$8="A",(RANK(H327,H$11:H$355,1)+COUNTIF(H$11:H327,H327)-1),(RANK(H327,H$11:H$355)+COUNTIF(H$11:H327,H327)-1)))</f>
        <v>20</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388.9</v>
      </c>
      <c r="AY327" s="156"/>
      <c r="AZ327" s="44"/>
    </row>
    <row r="328" spans="1:52">
      <c r="A328" s="84" t="str">
        <f>$D$1&amp;318</f>
        <v>SD318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458.2</v>
      </c>
      <c r="G328" s="105"/>
      <c r="H328" s="60">
        <f t="shared" si="97"/>
        <v>458.2</v>
      </c>
      <c r="I328" s="112">
        <f>IF(H328="","",IF($I$8="A",(RANK(H328,H$11:H$355,1)+COUNTIF(H$11:H328,H328)-1),(RANK(H328,H$11:H$355)+COUNTIF(H$11:H328,H328)-1)))</f>
        <v>61</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458.2</v>
      </c>
      <c r="AY328" s="156"/>
      <c r="AZ328" s="44"/>
    </row>
    <row r="329" spans="1:52">
      <c r="A329" s="84" t="str">
        <f>$D$1&amp;319</f>
        <v>SD319</v>
      </c>
      <c r="B329" s="85">
        <f>IF(ISERROR(VLOOKUP(A329,classifications!A:C,3,FALSE)),0,VLOOKUP(A329,classifications!A:C,3,FALSE))</f>
        <v>0</v>
      </c>
      <c r="C329" s="31" t="s">
        <v>179</v>
      </c>
      <c r="D329" s="49" t="str">
        <f>VLOOKUP($C329,classifications!$C:$J,4,FALSE)</f>
        <v>SD</v>
      </c>
      <c r="E329" s="49">
        <f>VLOOKUP(C329,classifications!C:K,9,FALSE)</f>
        <v>0</v>
      </c>
      <c r="F329" s="59">
        <f t="shared" si="96"/>
        <v>553.1</v>
      </c>
      <c r="G329" s="105"/>
      <c r="H329" s="60">
        <f t="shared" si="97"/>
        <v>553.1</v>
      </c>
      <c r="I329" s="112">
        <f>IF(H329="","",IF($I$8="A",(RANK(H329,H$11:H$355,1)+COUNTIF(H$11:H329,H329)-1),(RANK(H329,H$11:H$355)+COUNTIF(H$11:H329,H329)-1)))</f>
        <v>146</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553.1</v>
      </c>
      <c r="AY329" s="156"/>
      <c r="AZ329" s="44"/>
    </row>
    <row r="330" spans="1:52">
      <c r="A330" s="84" t="str">
        <f>$D$1&amp;320</f>
        <v>SD320</v>
      </c>
      <c r="B330" s="85">
        <f>IF(ISERROR(VLOOKUP(A330,classifications!A:C,3,FALSE)),0,VLOOKUP(A330,classifications!A:C,3,FALSE))</f>
        <v>0</v>
      </c>
      <c r="C330" s="31" t="s">
        <v>180</v>
      </c>
      <c r="D330" s="49" t="str">
        <f>VLOOKUP($C330,classifications!$C:$J,4,FALSE)</f>
        <v>SD</v>
      </c>
      <c r="E330" s="49">
        <f>VLOOKUP(C330,classifications!C:K,9,FALSE)</f>
        <v>0</v>
      </c>
      <c r="F330" s="59">
        <f t="shared" si="96"/>
        <v>452.6</v>
      </c>
      <c r="G330" s="105"/>
      <c r="H330" s="60">
        <f t="shared" si="97"/>
        <v>452.6</v>
      </c>
      <c r="I330" s="112">
        <f>IF(H330="","",IF($I$8="A",(RANK(H330,H$11:H$355,1)+COUNTIF(H$11:H330,H330)-1),(RANK(H330,H$11:H$355)+COUNTIF(H$11:H330,H330)-1)))</f>
        <v>59</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452.6</v>
      </c>
      <c r="AY330" s="156"/>
      <c r="AZ330" s="44"/>
    </row>
    <row r="331" spans="1:52">
      <c r="A331" s="84" t="str">
        <f>$D$1&amp;321</f>
        <v>SD321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549.20000000000005</v>
      </c>
      <c r="G331" s="105"/>
      <c r="H331" s="60" t="str">
        <f t="shared" ref="H331:H355" si="120">IF(D331=$D$1,HLOOKUP($D$6,$AX$10:$ZZ$355,ROW()-9,FALSE),"")</f>
        <v/>
      </c>
      <c r="I331" s="112" t="str">
        <f>IF(H331="","",IF($I$8="A",(RANK(H331,H$11:H$355,1)+COUNTIF(H$11:H331,H331)-1),(RANK(H331,H$11:H$355)+COUNTIF(H$11:H331,H331)-1)))</f>
        <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549.20000000000005</v>
      </c>
      <c r="AY331" s="156"/>
      <c r="AZ331" s="44"/>
    </row>
    <row r="332" spans="1:52">
      <c r="A332" s="84" t="str">
        <f>$D$1&amp;322</f>
        <v>SD322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326.89999999999998</v>
      </c>
      <c r="G332" s="105"/>
      <c r="H332" s="60">
        <f t="shared" si="120"/>
        <v>326.89999999999998</v>
      </c>
      <c r="I332" s="112">
        <f>IF(H332="","",IF($I$8="A",(RANK(H332,H$11:H$355,1)+COUNTIF(H$11:H332,H332)-1),(RANK(H332,H$11:H$355)+COUNTIF(H$11:H332,H332)-1)))</f>
        <v>5</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326.89999999999998</v>
      </c>
      <c r="AY332" s="156"/>
      <c r="AZ332" s="44"/>
    </row>
    <row r="333" spans="1:52">
      <c r="A333" s="84" t="str">
        <f>$D$1&amp;323</f>
        <v>SD323</v>
      </c>
      <c r="B333" s="85">
        <f>IF(ISERROR(VLOOKUP(A333,classifications!A:C,3,FALSE)),0,VLOOKUP(A333,classifications!A:C,3,FALSE))</f>
        <v>0</v>
      </c>
      <c r="C333" s="31" t="s">
        <v>183</v>
      </c>
      <c r="D333" s="49" t="str">
        <f>VLOOKUP($C333,classifications!$C:$J,4,FALSE)</f>
        <v>SD</v>
      </c>
      <c r="E333" s="49">
        <f>VLOOKUP(C333,classifications!C:K,9,FALSE)</f>
        <v>0</v>
      </c>
      <c r="F333" s="59">
        <f t="shared" si="119"/>
        <v>505.6</v>
      </c>
      <c r="G333" s="105"/>
      <c r="H333" s="60">
        <f t="shared" si="120"/>
        <v>505.6</v>
      </c>
      <c r="I333" s="112">
        <f>IF(H333="","",IF($I$8="A",(RANK(H333,H$11:H$355,1)+COUNTIF(H$11:H333,H333)-1),(RANK(H333,H$11:H$355)+COUNTIF(H$11:H333,H333)-1)))</f>
        <v>105</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505.6</v>
      </c>
      <c r="AY333" s="156"/>
      <c r="AZ333" s="44"/>
    </row>
    <row r="334" spans="1:52">
      <c r="A334" s="84" t="str">
        <f>$D$1&amp;324</f>
        <v>SD324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565.20000000000005</v>
      </c>
      <c r="G334" s="105"/>
      <c r="H334" s="60">
        <f t="shared" si="120"/>
        <v>565.20000000000005</v>
      </c>
      <c r="I334" s="112">
        <f>IF(H334="","",IF($I$8="A",(RANK(H334,H$11:H$355,1)+COUNTIF(H$11:H334,H334)-1),(RANK(H334,H$11:H$355)+COUNTIF(H$11:H334,H334)-1)))</f>
        <v>155</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565.20000000000005</v>
      </c>
      <c r="AY334" s="156"/>
      <c r="AZ334" s="44"/>
    </row>
    <row r="335" spans="1:52">
      <c r="A335" s="84" t="str">
        <f>$D$1&amp;325</f>
        <v>SD325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403.1</v>
      </c>
      <c r="G335" s="105"/>
      <c r="H335" s="60">
        <f t="shared" si="120"/>
        <v>403.1</v>
      </c>
      <c r="I335" s="112">
        <f>IF(H335="","",IF($I$8="A",(RANK(H335,H$11:H$355,1)+COUNTIF(H$11:H335,H335)-1),(RANK(H335,H$11:H$355)+COUNTIF(H$11:H335,H335)-1)))</f>
        <v>25</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403.1</v>
      </c>
      <c r="AY335" s="156"/>
      <c r="AZ335" s="44"/>
    </row>
    <row r="336" spans="1:52">
      <c r="A336" s="84" t="str">
        <f>$D$1&amp;326</f>
        <v>SD326</v>
      </c>
      <c r="B336" s="85">
        <f>IF(ISERROR(VLOOKUP(A336,classifications!A:C,3,FALSE)),0,VLOOKUP(A336,classifications!A:C,3,FALSE))</f>
        <v>0</v>
      </c>
      <c r="C336" s="31" t="s">
        <v>186</v>
      </c>
      <c r="D336" s="49" t="str">
        <f>VLOOKUP($C336,classifications!$C:$J,4,FALSE)</f>
        <v>SD</v>
      </c>
      <c r="E336" s="49">
        <f>VLOOKUP(C336,classifications!C:K,9,FALSE)</f>
        <v>0</v>
      </c>
      <c r="F336" s="59" t="str">
        <f t="shared" si="119"/>
        <v>-</v>
      </c>
      <c r="G336" s="105"/>
      <c r="H336" s="60" t="str">
        <f t="shared" si="120"/>
        <v>-</v>
      </c>
      <c r="I336" s="112" t="e">
        <f>IF(H336="","",IF($I$8="A",(RANK(H336,H$11:H$355,1)+COUNTIF(H$11:H336,H336)-1),(RANK(H336,H$11:H$355)+COUNTIF(H$11:H336,H336)-1)))</f>
        <v>#VALUE!</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t="str">
        <f>HLOOKUP($AX$9&amp;$AX$10,Data!$A$1:$ZZ$2000,(MATCH($C336,Data!$A$1:$A$2000,0)),FALSE)</f>
        <v>-</v>
      </c>
      <c r="AY336" s="156"/>
      <c r="AZ336" s="44"/>
    </row>
    <row r="337" spans="1:52">
      <c r="A337" s="84" t="str">
        <f>$D$1&amp;327</f>
        <v>SD327</v>
      </c>
      <c r="B337" s="85">
        <f>IF(ISERROR(VLOOKUP(A337,classifications!A:C,3,FALSE)),0,VLOOKUP(A337,classifications!A:C,3,FALSE))</f>
        <v>0</v>
      </c>
      <c r="C337" s="31" t="s">
        <v>331</v>
      </c>
      <c r="D337" s="49" t="str">
        <f>VLOOKUP($C337,classifications!$C:$J,4,FALSE)</f>
        <v>SC</v>
      </c>
      <c r="E337" s="49">
        <f>VLOOKUP(C337,classifications!C:K,9,FALSE)</f>
        <v>0</v>
      </c>
      <c r="F337" s="59">
        <f t="shared" si="119"/>
        <v>472.6</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472.6</v>
      </c>
      <c r="AY337" s="156"/>
      <c r="AZ337" s="44"/>
    </row>
    <row r="338" spans="1:52">
      <c r="A338" s="84" t="str">
        <f>$D$1&amp;328</f>
        <v>SD328</v>
      </c>
      <c r="B338" s="85">
        <f>IF(ISERROR(VLOOKUP(A338,classifications!A:C,3,FALSE)),0,VLOOKUP(A338,classifications!A:C,3,FALSE))</f>
        <v>0</v>
      </c>
      <c r="C338" s="31" t="s">
        <v>187</v>
      </c>
      <c r="D338" s="49" t="str">
        <f>VLOOKUP($C338,classifications!$C:$J,4,FALSE)</f>
        <v>L</v>
      </c>
      <c r="E338" s="49">
        <f>VLOOKUP(C338,classifications!C:K,9,FALSE)</f>
        <v>0</v>
      </c>
      <c r="F338" s="59">
        <f t="shared" si="119"/>
        <v>314.7</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314.7</v>
      </c>
      <c r="AY338" s="156"/>
      <c r="AZ338" s="44"/>
    </row>
    <row r="339" spans="1:52">
      <c r="A339" s="84" t="str">
        <f>$D$1&amp;329</f>
        <v>SD329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v>
      </c>
      <c r="I339" s="112" t="e">
        <f>IF(H339="","",IF($I$8="A",(RANK(H339,H$11:H$355,1)+COUNTIF(H$11:H339,H339)-1),(RANK(H339,H$11:H$355)+COUNTIF(H$11:H339,H339)-1)))</f>
        <v>#VALUE!</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SD330</v>
      </c>
      <c r="B340" s="85">
        <f>IF(ISERROR(VLOOKUP(A340,classifications!A:C,3,FALSE)),0,VLOOKUP(A340,classifications!A:C,3,FALSE))</f>
        <v>0</v>
      </c>
      <c r="C340" s="31" t="s">
        <v>255</v>
      </c>
      <c r="D340" s="49" t="str">
        <f>VLOOKUP($C340,classifications!$C:$J,4,FALSE)</f>
        <v>MD</v>
      </c>
      <c r="E340" s="49">
        <f>VLOOKUP(C340,classifications!C:K,9,FALSE)</f>
        <v>0</v>
      </c>
      <c r="F340" s="59">
        <f t="shared" si="119"/>
        <v>469.3</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469.3</v>
      </c>
      <c r="AY340" s="156"/>
      <c r="AZ340" s="44"/>
    </row>
    <row r="341" spans="1:52">
      <c r="A341" s="84" t="str">
        <f>$D$1&amp;331</f>
        <v>SD331</v>
      </c>
      <c r="B341" s="85">
        <f>IF(ISERROR(VLOOKUP(A341,classifications!A:C,3,FALSE)),0,VLOOKUP(A341,classifications!A:C,3,FALSE))</f>
        <v>0</v>
      </c>
      <c r="C341" s="31" t="s">
        <v>297</v>
      </c>
      <c r="D341" s="49" t="str">
        <f>VLOOKUP($C341,classifications!$C:$J,4,FALSE)</f>
        <v>UA</v>
      </c>
      <c r="E341" s="49">
        <f>VLOOKUP(C341,classifications!C:K,9,FALSE)</f>
        <v>0</v>
      </c>
      <c r="F341" s="59">
        <f t="shared" si="119"/>
        <v>553.20000000000005</v>
      </c>
      <c r="G341" s="105"/>
      <c r="H341" s="60" t="str">
        <f t="shared" si="120"/>
        <v/>
      </c>
      <c r="I341" s="112" t="str">
        <f>IF(H341="","",IF($I$8="A",(RANK(H341,H$11:H$355,1)+COUNTIF(H$11:H341,H341)-1),(RANK(H341,H$11:H$355)+COUNTIF(H$11:H341,H341)-1)))</f>
        <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553.20000000000005</v>
      </c>
      <c r="AY341" s="156"/>
      <c r="AZ341" s="44"/>
    </row>
    <row r="342" spans="1:52">
      <c r="A342" s="84" t="str">
        <f>$D$1&amp;332</f>
        <v>SD332</v>
      </c>
      <c r="B342" s="85">
        <f>IF(ISERROR(VLOOKUP(A342,classifications!A:C,3,FALSE)),0,VLOOKUP(A342,classifications!A:C,3,FALSE))</f>
        <v>0</v>
      </c>
      <c r="C342" s="31" t="s">
        <v>188</v>
      </c>
      <c r="D342" s="49" t="str">
        <f>VLOOKUP($C342,classifications!$C:$J,4,FALSE)</f>
        <v>SD</v>
      </c>
      <c r="E342" s="49">
        <f>VLOOKUP(C342,classifications!C:K,9,FALSE)</f>
        <v>0</v>
      </c>
      <c r="F342" s="59">
        <f t="shared" si="119"/>
        <v>475.2</v>
      </c>
      <c r="G342" s="105"/>
      <c r="H342" s="60">
        <f t="shared" si="120"/>
        <v>475.2</v>
      </c>
      <c r="I342" s="112">
        <f>IF(H342="","",IF($I$8="A",(RANK(H342,H$11:H$355,1)+COUNTIF(H$11:H342,H342)-1),(RANK(H342,H$11:H$355)+COUNTIF(H$11:H342,H342)-1)))</f>
        <v>77</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475.2</v>
      </c>
      <c r="AY342" s="156"/>
      <c r="AZ342" s="44"/>
    </row>
    <row r="343" spans="1:52">
      <c r="A343" s="84" t="str">
        <f>$D$1&amp;333</f>
        <v>SD333</v>
      </c>
      <c r="B343" s="85">
        <f>IF(ISERROR(VLOOKUP(A343,classifications!A:C,3,FALSE)),0,VLOOKUP(A343,classifications!A:C,3,FALSE))</f>
        <v>0</v>
      </c>
      <c r="C343" s="31" t="s">
        <v>814</v>
      </c>
      <c r="D343" s="49" t="str">
        <f>VLOOKUP($C343,classifications!$C:$J,4,FALSE)</f>
        <v>UA</v>
      </c>
      <c r="E343" s="49">
        <f>VLOOKUP(C343,classifications!C:K,9,FALSE)</f>
        <v>0</v>
      </c>
      <c r="F343" s="59">
        <f t="shared" si="119"/>
        <v>519.5</v>
      </c>
      <c r="G343" s="105"/>
      <c r="H343" s="60" t="str">
        <f t="shared" si="120"/>
        <v/>
      </c>
      <c r="I343" s="112" t="str">
        <f>IF(H343="","",IF($I$8="A",(RANK(H343,H$11:H$355,1)+COUNTIF(H$11:H343,H343)-1),(RANK(H343,H$11:H$355)+COUNTIF(H$11:H343,H343)-1)))</f>
        <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519.5</v>
      </c>
      <c r="AY343" s="156"/>
      <c r="AZ343" s="44"/>
    </row>
    <row r="344" spans="1:52">
      <c r="A344" s="84" t="str">
        <f>$D$1&amp;334</f>
        <v>SD334</v>
      </c>
      <c r="B344" s="85">
        <f>IF(ISERROR(VLOOKUP(A344,classifications!A:C,3,FALSE)),0,VLOOKUP(A344,classifications!A:C,3,FALSE))</f>
        <v>0</v>
      </c>
      <c r="C344" s="31" t="s">
        <v>256</v>
      </c>
      <c r="D344" s="49" t="str">
        <f>VLOOKUP($C344,classifications!$C:$J,4,FALSE)</f>
        <v>MD</v>
      </c>
      <c r="E344" s="49">
        <f>VLOOKUP(C344,classifications!C:K,9,FALSE)</f>
        <v>0</v>
      </c>
      <c r="F344" s="59">
        <f t="shared" si="119"/>
        <v>606.9</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606.9</v>
      </c>
      <c r="AY344" s="156"/>
      <c r="AZ344" s="44"/>
    </row>
    <row r="345" spans="1:52">
      <c r="A345" s="84" t="str">
        <f>$D$1&amp;335</f>
        <v>SD335</v>
      </c>
      <c r="B345" s="85">
        <f>IF(ISERROR(VLOOKUP(A345,classifications!A:C,3,FALSE)),0,VLOOKUP(A345,classifications!A:C,3,FALSE))</f>
        <v>0</v>
      </c>
      <c r="C345" s="31" t="s">
        <v>189</v>
      </c>
      <c r="D345" s="49" t="str">
        <f>VLOOKUP($C345,classifications!$C:$J,4,FALSE)</f>
        <v>SD</v>
      </c>
      <c r="E345" s="49">
        <f>VLOOKUP(C345,classifications!C:K,9,FALSE)</f>
        <v>0</v>
      </c>
      <c r="F345" s="59">
        <f t="shared" si="119"/>
        <v>434.5</v>
      </c>
      <c r="G345" s="105"/>
      <c r="H345" s="60">
        <f t="shared" si="120"/>
        <v>434.5</v>
      </c>
      <c r="I345" s="112">
        <f>IF(H345="","",IF($I$8="A",(RANK(H345,H$11:H$355,1)+COUNTIF(H$11:H345,H345)-1),(RANK(H345,H$11:H$355)+COUNTIF(H$11:H345,H345)-1)))</f>
        <v>44</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434.5</v>
      </c>
      <c r="AY345" s="156"/>
      <c r="AZ345" s="44"/>
    </row>
    <row r="346" spans="1:52">
      <c r="A346" s="84" t="str">
        <f>$D$1&amp;336</f>
        <v>SD336</v>
      </c>
      <c r="B346" s="85">
        <f>IF(ISERROR(VLOOKUP(A346,classifications!A:C,3,FALSE)),0,VLOOKUP(A346,classifications!A:C,3,FALSE))</f>
        <v>0</v>
      </c>
      <c r="C346" s="31" t="s">
        <v>298</v>
      </c>
      <c r="D346" s="49" t="str">
        <f>VLOOKUP($C346,classifications!$C:$J,4,FALSE)</f>
        <v>UA</v>
      </c>
      <c r="E346" s="49">
        <f>VLOOKUP(C346,classifications!C:K,9,FALSE)</f>
        <v>0</v>
      </c>
      <c r="F346" s="59">
        <f t="shared" si="119"/>
        <v>505.8</v>
      </c>
      <c r="G346" s="105"/>
      <c r="H346" s="60" t="str">
        <f t="shared" si="120"/>
        <v/>
      </c>
      <c r="I346" s="112" t="str">
        <f>IF(H346="","",IF($I$8="A",(RANK(H346,H$11:H$355,1)+COUNTIF(H$11:H346,H346)-1),(RANK(H346,H$11:H$355)+COUNTIF(H$11:H346,H346)-1)))</f>
        <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505.8</v>
      </c>
      <c r="AY346" s="156"/>
      <c r="AZ346" s="44"/>
    </row>
    <row r="347" spans="1:52">
      <c r="A347" s="84" t="str">
        <f>$D$1&amp;337</f>
        <v>SD337</v>
      </c>
      <c r="B347" s="85">
        <f>IF(ISERROR(VLOOKUP(A347,classifications!A:C,3,FALSE)),0,VLOOKUP(A347,classifications!A:C,3,FALSE))</f>
        <v>0</v>
      </c>
      <c r="C347" s="31" t="s">
        <v>257</v>
      </c>
      <c r="D347" s="49" t="str">
        <f>VLOOKUP($C347,classifications!$C:$J,4,FALSE)</f>
        <v>MD</v>
      </c>
      <c r="E347" s="49">
        <f>VLOOKUP(C347,classifications!C:K,9,FALSE)</f>
        <v>0</v>
      </c>
      <c r="F347" s="59">
        <f t="shared" si="119"/>
        <v>605.6</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605.6</v>
      </c>
      <c r="AY347" s="156"/>
      <c r="AZ347" s="44"/>
    </row>
    <row r="348" spans="1:52">
      <c r="A348" s="84" t="str">
        <f>$D$1&amp;338</f>
        <v>SD338</v>
      </c>
      <c r="B348" s="85">
        <f>IF(ISERROR(VLOOKUP(A348,classifications!A:C,3,FALSE)),0,VLOOKUP(A348,classifications!A:C,3,FALSE))</f>
        <v>0</v>
      </c>
      <c r="C348" s="31" t="s">
        <v>190</v>
      </c>
      <c r="D348" s="49" t="str">
        <f>VLOOKUP($C348,classifications!$C:$J,4,FALSE)</f>
        <v>SD</v>
      </c>
      <c r="E348" s="49">
        <f>VLOOKUP(C348,classifications!C:K,9,FALSE)</f>
        <v>0</v>
      </c>
      <c r="F348" s="59">
        <f t="shared" si="119"/>
        <v>497.3</v>
      </c>
      <c r="G348" s="105"/>
      <c r="H348" s="60">
        <f t="shared" si="120"/>
        <v>497.3</v>
      </c>
      <c r="I348" s="112">
        <f>IF(H348="","",IF($I$8="A",(RANK(H348,H$11:H$355,1)+COUNTIF(H$11:H348,H348)-1),(RANK(H348,H$11:H$355)+COUNTIF(H$11:H348,H348)-1)))</f>
        <v>98</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497.3</v>
      </c>
      <c r="AY348" s="156"/>
      <c r="AZ348" s="44"/>
    </row>
    <row r="349" spans="1:52">
      <c r="A349" s="84" t="str">
        <f>$D$1&amp;339</f>
        <v>SD339</v>
      </c>
      <c r="B349" s="85">
        <f>IF(ISERROR(VLOOKUP(A349,classifications!A:C,3,FALSE)),0,VLOOKUP(A349,classifications!A:C,3,FALSE))</f>
        <v>0</v>
      </c>
      <c r="C349" s="31" t="s">
        <v>332</v>
      </c>
      <c r="D349" s="49" t="str">
        <f>VLOOKUP($C349,classifications!$C:$J,4,FALSE)</f>
        <v>SC</v>
      </c>
      <c r="E349" s="49">
        <f>VLOOKUP(C349,classifications!C:K,9,FALSE)</f>
        <v>0</v>
      </c>
      <c r="F349" s="59">
        <f t="shared" si="119"/>
        <v>594.20000000000005</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594.20000000000005</v>
      </c>
      <c r="AY349" s="156"/>
      <c r="AZ349" s="44"/>
    </row>
    <row r="350" spans="1:52">
      <c r="A350" s="84" t="str">
        <f>$D$1&amp;340</f>
        <v>SD340</v>
      </c>
      <c r="B350" s="85">
        <f>IF(ISERROR(VLOOKUP(A350,classifications!A:C,3,FALSE)),0,VLOOKUP(A350,classifications!A:C,3,FALSE))</f>
        <v>0</v>
      </c>
      <c r="C350" s="31" t="s">
        <v>191</v>
      </c>
      <c r="D350" s="49" t="str">
        <f>VLOOKUP($C350,classifications!$C:$J,4,FALSE)</f>
        <v>SD</v>
      </c>
      <c r="E350" s="49">
        <f>VLOOKUP(C350,classifications!C:K,9,FALSE)</f>
        <v>0</v>
      </c>
      <c r="F350" s="59">
        <f t="shared" si="119"/>
        <v>465</v>
      </c>
      <c r="G350" s="105"/>
      <c r="H350" s="60">
        <f t="shared" si="120"/>
        <v>465</v>
      </c>
      <c r="I350" s="112">
        <f>IF(H350="","",IF($I$8="A",(RANK(H350,H$11:H$355,1)+COUNTIF(H$11:H350,H350)-1),(RANK(H350,H$11:H$355)+COUNTIF(H$11:H350,H350)-1)))</f>
        <v>70</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465</v>
      </c>
      <c r="AY350" s="156"/>
      <c r="AZ350" s="44"/>
    </row>
    <row r="351" spans="1:52">
      <c r="A351" s="84" t="str">
        <f>$D$1&amp;341</f>
        <v>SD341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479.1</v>
      </c>
      <c r="G351" s="105"/>
      <c r="H351" s="60">
        <f t="shared" si="120"/>
        <v>479.1</v>
      </c>
      <c r="I351" s="112">
        <f>IF(H351="","",IF($I$8="A",(RANK(H351,H$11:H$355,1)+COUNTIF(H$11:H351,H351)-1),(RANK(H351,H$11:H$355)+COUNTIF(H$11:H351,H351)-1)))</f>
        <v>83</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479.1</v>
      </c>
      <c r="AY351" s="156"/>
      <c r="AZ351" s="44"/>
    </row>
    <row r="352" spans="1:52">
      <c r="A352" s="84" t="str">
        <f>$D$1&amp;342</f>
        <v>SD342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v>
      </c>
      <c r="I352" s="112" t="e">
        <f>IF(H352="","",IF($I$8="A",(RANK(H352,H$11:H$355,1)+COUNTIF(H$11:H352,H352)-1),(RANK(H352,H$11:H$355)+COUNTIF(H$11:H352,H352)-1)))</f>
        <v>#VALUE!</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SD343</v>
      </c>
      <c r="B353" s="85">
        <f>IF(ISERROR(VLOOKUP(A353,classifications!A:C,3,FALSE)),0,VLOOKUP(A353,classifications!A:C,3,FALSE))</f>
        <v>0</v>
      </c>
      <c r="C353" s="31" t="s">
        <v>194</v>
      </c>
      <c r="D353" s="49" t="str">
        <f>VLOOKUP($C353,classifications!$C:$J,4,FALSE)</f>
        <v>SD</v>
      </c>
      <c r="E353" s="49">
        <f>VLOOKUP(C353,classifications!C:K,9,FALSE)</f>
        <v>0</v>
      </c>
      <c r="F353" s="59">
        <f t="shared" si="119"/>
        <v>477.9</v>
      </c>
      <c r="G353" s="105"/>
      <c r="H353" s="60">
        <f t="shared" si="120"/>
        <v>477.9</v>
      </c>
      <c r="I353" s="112">
        <f>IF(H353="","",IF($I$8="A",(RANK(H353,H$11:H$355,1)+COUNTIF(H$11:H353,H353)-1),(RANK(H353,H$11:H$355)+COUNTIF(H$11:H353,H353)-1)))</f>
        <v>81</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477.9</v>
      </c>
      <c r="AY353" s="156"/>
      <c r="AZ353" s="44"/>
    </row>
    <row r="354" spans="1:735">
      <c r="A354" s="84" t="str">
        <f>$D$1&amp;344</f>
        <v>SD344</v>
      </c>
      <c r="B354" s="85">
        <f>IF(ISERROR(VLOOKUP(A354,classifications!A:C,3,FALSE)),0,VLOOKUP(A354,classifications!A:C,3,FALSE))</f>
        <v>0</v>
      </c>
      <c r="C354" s="31" t="s">
        <v>195</v>
      </c>
      <c r="D354" s="49" t="str">
        <f>VLOOKUP($C354,classifications!$C:$J,4,FALSE)</f>
        <v>SD</v>
      </c>
      <c r="E354" s="49">
        <f>VLOOKUP(C354,classifications!C:K,9,FALSE)</f>
        <v>0</v>
      </c>
      <c r="F354" s="59">
        <f t="shared" si="119"/>
        <v>565.29999999999995</v>
      </c>
      <c r="G354" s="105"/>
      <c r="H354" s="60">
        <f t="shared" si="120"/>
        <v>565.29999999999995</v>
      </c>
      <c r="I354" s="112">
        <f>IF(H354="","",IF($I$8="A",(RANK(H354,H$11:H$355,1)+COUNTIF(H$11:H354,H354)-1),(RANK(H354,H$11:H$355)+COUNTIF(H$11:H354,H354)-1)))</f>
        <v>156</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565.29999999999995</v>
      </c>
      <c r="AY354" s="156"/>
      <c r="AZ354" s="44"/>
    </row>
    <row r="355" spans="1:735">
      <c r="A355" s="84" t="str">
        <f>$D$1&amp;345</f>
        <v>SD345</v>
      </c>
      <c r="B355" s="85">
        <f>IF(ISERROR(VLOOKUP(A355,classifications!A:C,3,FALSE)),0,VLOOKUP(A355,classifications!A:C,3,FALSE))</f>
        <v>0</v>
      </c>
      <c r="C355" s="31" t="s">
        <v>299</v>
      </c>
      <c r="D355" s="49" t="str">
        <f>VLOOKUP($C355,classifications!$C:$J,4,FALSE)</f>
        <v>UA</v>
      </c>
      <c r="E355" s="49">
        <f>VLOOKUP(C355,classifications!C:K,9,FALSE)</f>
        <v>0</v>
      </c>
      <c r="F355" s="59">
        <f t="shared" si="119"/>
        <v>494</v>
      </c>
      <c r="G355" s="105"/>
      <c r="H355" s="60" t="str">
        <f t="shared" si="120"/>
        <v/>
      </c>
      <c r="I355" s="112" t="str">
        <f>IF(H355="","",IF($I$8="A",(RANK(H355,H$11:H$355,1)+COUNTIF(H$11:H355,H355)-1),(RANK(H355,H$11:H$355)+COUNTIF(H$11:H355,H355)-1)))</f>
        <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494</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76" t="s">
        <v>892</v>
      </c>
      <c r="C2" t="s">
        <v>821</v>
      </c>
      <c r="D2" t="s">
        <v>821</v>
      </c>
      <c r="E2" t="s">
        <v>888</v>
      </c>
      <c r="F2" t="s">
        <v>896</v>
      </c>
      <c r="G2" t="s">
        <v>885</v>
      </c>
      <c r="H2" t="s">
        <v>886</v>
      </c>
      <c r="I2" t="s">
        <v>887</v>
      </c>
      <c r="J2" t="s">
        <v>890</v>
      </c>
      <c r="K2" t="s">
        <v>897</v>
      </c>
      <c r="L2" t="s">
        <v>898</v>
      </c>
      <c r="M2" t="s">
        <v>906</v>
      </c>
      <c r="N2" t="s">
        <v>909</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A324" workbookViewId="0">
      <selection activeCell="C331" sqref="C33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884</v>
      </c>
      <c r="D3" s="189"/>
      <c r="E3" s="189"/>
      <c r="L3" s="179"/>
      <c r="M3" s="162"/>
      <c r="N3" s="179"/>
      <c r="O3" s="192"/>
      <c r="P3" s="192"/>
      <c r="Q3" s="192"/>
      <c r="R3" s="162"/>
      <c r="S3" s="162"/>
      <c r="T3" s="162"/>
      <c r="U3" s="192"/>
      <c r="V3" s="372"/>
      <c r="W3" s="372"/>
      <c r="X3" s="179"/>
      <c r="Y3" s="179"/>
    </row>
    <row r="4" spans="1:77" ht="60" customHeight="1">
      <c r="A4" s="370"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t="s">
        <v>894</v>
      </c>
      <c r="AI4" t="s">
        <v>894</v>
      </c>
      <c r="AJ4"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1"/>
      <c r="B5" s="188" t="s">
        <v>364</v>
      </c>
      <c r="C5" t="s">
        <v>896</v>
      </c>
      <c r="D5" t="s">
        <v>885</v>
      </c>
      <c r="E5" t="s">
        <v>886</v>
      </c>
      <c r="F5" t="s">
        <v>887</v>
      </c>
      <c r="G5" t="s">
        <v>890</v>
      </c>
      <c r="H5" t="s">
        <v>897</v>
      </c>
      <c r="I5" t="s">
        <v>898</v>
      </c>
      <c r="J5" t="s">
        <v>906</v>
      </c>
      <c r="K5" t="s">
        <v>909</v>
      </c>
      <c r="L5" t="s">
        <v>914</v>
      </c>
      <c r="M5" t="s">
        <v>915</v>
      </c>
      <c r="N5" t="s">
        <v>896</v>
      </c>
      <c r="O5" t="s">
        <v>885</v>
      </c>
      <c r="P5" t="s">
        <v>886</v>
      </c>
      <c r="Q5" t="s">
        <v>887</v>
      </c>
      <c r="R5" t="s">
        <v>890</v>
      </c>
      <c r="S5" t="s">
        <v>897</v>
      </c>
      <c r="T5" t="s">
        <v>898</v>
      </c>
      <c r="U5" t="s">
        <v>906</v>
      </c>
      <c r="V5" t="s">
        <v>909</v>
      </c>
      <c r="W5" t="s">
        <v>914</v>
      </c>
      <c r="X5" t="s">
        <v>915</v>
      </c>
      <c r="Y5" t="s">
        <v>896</v>
      </c>
      <c r="Z5" t="s">
        <v>885</v>
      </c>
      <c r="AA5" t="s">
        <v>886</v>
      </c>
      <c r="AB5" t="s">
        <v>887</v>
      </c>
      <c r="AC5" t="s">
        <v>890</v>
      </c>
      <c r="AD5" t="s">
        <v>897</v>
      </c>
      <c r="AE5" t="s">
        <v>898</v>
      </c>
      <c r="AF5" t="s">
        <v>906</v>
      </c>
      <c r="AG5" t="s">
        <v>909</v>
      </c>
      <c r="AH5" t="s">
        <v>914</v>
      </c>
      <c r="AI5" t="s">
        <v>915</v>
      </c>
      <c r="AJ5" t="s">
        <v>896</v>
      </c>
      <c r="AK5" s="157" t="s">
        <v>885</v>
      </c>
      <c r="AL5" s="157" t="s">
        <v>886</v>
      </c>
      <c r="AM5" s="157" t="s">
        <v>887</v>
      </c>
      <c r="AN5" s="157" t="s">
        <v>890</v>
      </c>
      <c r="AO5" s="157" t="s">
        <v>897</v>
      </c>
      <c r="AP5" s="157" t="s">
        <v>898</v>
      </c>
      <c r="AQ5" s="157" t="s">
        <v>906</v>
      </c>
      <c r="AR5" s="157" t="s">
        <v>909</v>
      </c>
      <c r="AS5" s="164" t="s">
        <v>914</v>
      </c>
      <c r="AT5" s="164" t="s">
        <v>915</v>
      </c>
    </row>
    <row r="6" spans="1:77" ht="14.7" customHeight="1">
      <c r="A6" s="371"/>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214" t="s">
        <v>891</v>
      </c>
      <c r="AM6" s="214" t="s">
        <v>891</v>
      </c>
      <c r="AN6" s="214" t="s">
        <v>891</v>
      </c>
      <c r="AO6" s="214" t="s">
        <v>891</v>
      </c>
      <c r="AP6" s="214" t="s">
        <v>891</v>
      </c>
      <c r="AQ6" s="214" t="s">
        <v>891</v>
      </c>
      <c r="AR6" s="214" t="s">
        <v>891</v>
      </c>
      <c r="AS6" s="214" t="s">
        <v>891</v>
      </c>
      <c r="AT6" s="214"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79">
        <v>0.36699999999999999</v>
      </c>
      <c r="O7">
        <v>0.35899999999999999</v>
      </c>
      <c r="P7">
        <v>0.33300000000000002</v>
      </c>
      <c r="Q7" s="199">
        <v>0.32600000000000001</v>
      </c>
      <c r="R7" s="165">
        <v>0.32</v>
      </c>
      <c r="S7" s="165">
        <v>0.32</v>
      </c>
      <c r="T7" s="165">
        <v>0.32700000000000001</v>
      </c>
      <c r="U7" s="198">
        <v>0.33800000000000002</v>
      </c>
      <c r="V7" s="166">
        <v>0.35899999999999999</v>
      </c>
      <c r="W7" s="166">
        <v>0.36599999999999999</v>
      </c>
      <c r="X7" s="179">
        <v>0.41099999999999998</v>
      </c>
      <c r="Y7" s="179" t="s">
        <v>899</v>
      </c>
      <c r="Z7" s="157" t="s">
        <v>899</v>
      </c>
      <c r="AA7" s="157" t="s">
        <v>899</v>
      </c>
      <c r="AB7" s="157" t="s">
        <v>899</v>
      </c>
      <c r="AC7" s="157" t="s">
        <v>899</v>
      </c>
      <c r="AD7" s="157" t="s">
        <v>899</v>
      </c>
      <c r="AE7" s="157" t="s">
        <v>899</v>
      </c>
      <c r="AF7" s="157" t="s">
        <v>899</v>
      </c>
      <c r="AG7" s="157" t="s">
        <v>908</v>
      </c>
      <c r="AH7" s="157">
        <v>0</v>
      </c>
      <c r="AI7" s="157" t="s">
        <v>908</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79">
        <v>0.47299999999999998</v>
      </c>
      <c r="O8">
        <v>0.46200000000000002</v>
      </c>
      <c r="P8">
        <v>0.433</v>
      </c>
      <c r="Q8" s="199">
        <v>0.38100000000000001</v>
      </c>
      <c r="R8" s="165">
        <v>0.39300000000000002</v>
      </c>
      <c r="S8" s="165">
        <v>0.36899999999999999</v>
      </c>
      <c r="T8" s="165">
        <v>0.379</v>
      </c>
      <c r="U8" s="198">
        <v>0.34200000000000003</v>
      </c>
      <c r="V8" s="166">
        <v>0.33400000000000002</v>
      </c>
      <c r="W8" s="166">
        <v>0.33700000000000002</v>
      </c>
      <c r="X8" s="179">
        <v>0.36499999999999999</v>
      </c>
      <c r="Y8" s="179" t="s">
        <v>899</v>
      </c>
      <c r="Z8" s="157" t="s">
        <v>899</v>
      </c>
      <c r="AA8" s="157" t="s">
        <v>899</v>
      </c>
      <c r="AB8" s="157" t="s">
        <v>899</v>
      </c>
      <c r="AC8" s="157" t="s">
        <v>899</v>
      </c>
      <c r="AD8" s="157" t="s">
        <v>899</v>
      </c>
      <c r="AE8" s="157" t="s">
        <v>899</v>
      </c>
      <c r="AF8" s="157" t="s">
        <v>899</v>
      </c>
      <c r="AG8" s="157" t="s">
        <v>908</v>
      </c>
      <c r="AH8" s="157">
        <v>0</v>
      </c>
      <c r="AI8" s="157" t="s">
        <v>908</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79">
        <v>0.26900000000000002</v>
      </c>
      <c r="O9">
        <v>0.26700000000000002</v>
      </c>
      <c r="P9">
        <v>0.28000000000000003</v>
      </c>
      <c r="Q9" s="199">
        <v>0.33</v>
      </c>
      <c r="R9" s="165">
        <v>0.32900000000000001</v>
      </c>
      <c r="S9" s="165">
        <v>0.32700000000000001</v>
      </c>
      <c r="T9" s="165">
        <v>0.32200000000000001</v>
      </c>
      <c r="U9" s="198">
        <v>0.32900000000000001</v>
      </c>
      <c r="V9" s="166">
        <v>0.32900000000000001</v>
      </c>
      <c r="W9" s="166">
        <v>0.313</v>
      </c>
      <c r="X9" s="179">
        <v>0.313</v>
      </c>
      <c r="Y9" s="179" t="s">
        <v>899</v>
      </c>
      <c r="Z9" s="157" t="s">
        <v>899</v>
      </c>
      <c r="AA9" s="157" t="s">
        <v>899</v>
      </c>
      <c r="AB9" s="157" t="s">
        <v>899</v>
      </c>
      <c r="AC9" s="157" t="s">
        <v>899</v>
      </c>
      <c r="AD9" s="157" t="s">
        <v>899</v>
      </c>
      <c r="AE9" s="157" t="s">
        <v>899</v>
      </c>
      <c r="AF9" s="157" t="s">
        <v>899</v>
      </c>
      <c r="AG9" s="157" t="s">
        <v>908</v>
      </c>
      <c r="AH9" s="157">
        <v>0</v>
      </c>
      <c r="AI9" s="157" t="s">
        <v>908</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79">
        <v>0.373</v>
      </c>
      <c r="O10">
        <v>0.373</v>
      </c>
      <c r="P10">
        <v>0.36599999999999999</v>
      </c>
      <c r="Q10" s="199">
        <v>0.36399999999999999</v>
      </c>
      <c r="R10" s="165">
        <v>0.375</v>
      </c>
      <c r="S10" s="165">
        <v>0.38300000000000001</v>
      </c>
      <c r="T10" s="165">
        <v>0.38900000000000001</v>
      </c>
      <c r="U10" s="198">
        <v>0.40600000000000003</v>
      </c>
      <c r="V10" s="166">
        <v>0.41499999999999998</v>
      </c>
      <c r="W10" s="166">
        <v>0.42799999999999999</v>
      </c>
      <c r="X10" s="179">
        <v>0.42299999999999999</v>
      </c>
      <c r="Y10" s="179" t="s">
        <v>899</v>
      </c>
      <c r="Z10" s="157" t="s">
        <v>899</v>
      </c>
      <c r="AA10" s="157" t="s">
        <v>899</v>
      </c>
      <c r="AB10" s="157" t="s">
        <v>899</v>
      </c>
      <c r="AC10" s="157" t="s">
        <v>899</v>
      </c>
      <c r="AD10" s="157" t="s">
        <v>899</v>
      </c>
      <c r="AE10" s="157" t="s">
        <v>899</v>
      </c>
      <c r="AF10" s="157" t="s">
        <v>899</v>
      </c>
      <c r="AG10" s="157" t="s">
        <v>908</v>
      </c>
      <c r="AH10" s="157">
        <v>0</v>
      </c>
      <c r="AI10" s="157" t="s">
        <v>908</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79">
        <v>0.34100000000000003</v>
      </c>
      <c r="O11">
        <v>0.33900000000000002</v>
      </c>
      <c r="P11">
        <v>0.33800000000000002</v>
      </c>
      <c r="Q11" s="199">
        <v>0.32900000000000001</v>
      </c>
      <c r="R11" s="165">
        <v>0.32500000000000001</v>
      </c>
      <c r="S11" s="165">
        <v>0.318</v>
      </c>
      <c r="T11" s="165">
        <v>0.41</v>
      </c>
      <c r="U11" s="198">
        <v>0.40799999999999997</v>
      </c>
      <c r="V11" s="166">
        <v>0.35699999999999998</v>
      </c>
      <c r="W11" s="166">
        <v>0.371</v>
      </c>
      <c r="X11" s="179">
        <v>0.36399999999999999</v>
      </c>
      <c r="Y11" s="179" t="s">
        <v>899</v>
      </c>
      <c r="Z11" s="157" t="s">
        <v>899</v>
      </c>
      <c r="AA11" s="157" t="s">
        <v>899</v>
      </c>
      <c r="AB11" s="157" t="s">
        <v>899</v>
      </c>
      <c r="AC11" s="157" t="s">
        <v>899</v>
      </c>
      <c r="AD11" s="157" t="s">
        <v>899</v>
      </c>
      <c r="AE11" s="157" t="s">
        <v>899</v>
      </c>
      <c r="AF11" s="157" t="s">
        <v>899</v>
      </c>
      <c r="AG11" s="157" t="s">
        <v>908</v>
      </c>
      <c r="AH11" s="157">
        <v>0</v>
      </c>
      <c r="AI11" s="157" t="s">
        <v>908</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79">
        <v>0.14000000000000001</v>
      </c>
      <c r="O12">
        <v>0.14000000000000001</v>
      </c>
      <c r="P12">
        <v>0.11899999999999999</v>
      </c>
      <c r="Q12" s="199">
        <v>0.41899999999999998</v>
      </c>
      <c r="R12" s="165">
        <v>0.55300000000000005</v>
      </c>
      <c r="S12" s="165">
        <v>0.53100000000000003</v>
      </c>
      <c r="T12" s="165">
        <v>0.55000000000000004</v>
      </c>
      <c r="U12" s="198">
        <v>0.56599999999999995</v>
      </c>
      <c r="V12" s="166">
        <v>0.53400000000000003</v>
      </c>
      <c r="W12" s="166">
        <v>0.54200000000000004</v>
      </c>
      <c r="X12" s="179">
        <v>0.505</v>
      </c>
      <c r="Y12" s="179" t="s">
        <v>899</v>
      </c>
      <c r="Z12" s="157" t="s">
        <v>899</v>
      </c>
      <c r="AA12" s="157" t="s">
        <v>899</v>
      </c>
      <c r="AB12" s="157" t="s">
        <v>899</v>
      </c>
      <c r="AC12" s="157" t="s">
        <v>899</v>
      </c>
      <c r="AD12" s="157" t="s">
        <v>899</v>
      </c>
      <c r="AE12" s="157" t="s">
        <v>899</v>
      </c>
      <c r="AF12" s="157" t="s">
        <v>899</v>
      </c>
      <c r="AG12" s="157" t="s">
        <v>908</v>
      </c>
      <c r="AH12" s="157">
        <v>0</v>
      </c>
      <c r="AI12" s="157" t="s">
        <v>908</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t="s">
        <v>899</v>
      </c>
      <c r="N13" s="179">
        <v>0.222</v>
      </c>
      <c r="O13">
        <v>0.215</v>
      </c>
      <c r="P13">
        <v>0.378</v>
      </c>
      <c r="Q13" s="199">
        <v>0.51</v>
      </c>
      <c r="R13" s="165">
        <v>0.51400000000000001</v>
      </c>
      <c r="S13" s="165">
        <v>0.52</v>
      </c>
      <c r="T13" s="165">
        <v>0.503</v>
      </c>
      <c r="U13" s="198">
        <v>0.54100000000000004</v>
      </c>
      <c r="V13" s="166">
        <v>0.51100000000000001</v>
      </c>
      <c r="W13" s="166">
        <v>0.51800000000000002</v>
      </c>
      <c r="X13" t="s">
        <v>899</v>
      </c>
      <c r="Y13" s="179" t="s">
        <v>899</v>
      </c>
      <c r="Z13" s="157" t="s">
        <v>899</v>
      </c>
      <c r="AA13" s="157" t="s">
        <v>899</v>
      </c>
      <c r="AB13" s="157" t="s">
        <v>899</v>
      </c>
      <c r="AC13" s="157" t="s">
        <v>899</v>
      </c>
      <c r="AD13" s="157" t="s">
        <v>899</v>
      </c>
      <c r="AE13" s="157" t="s">
        <v>899</v>
      </c>
      <c r="AF13" s="157" t="s">
        <v>899</v>
      </c>
      <c r="AG13" s="157" t="s">
        <v>908</v>
      </c>
      <c r="AH13" s="157">
        <v>0</v>
      </c>
      <c r="AI13"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t="s">
        <v>899</v>
      </c>
    </row>
    <row r="14" spans="1:77" ht="14.7" customHeight="1">
      <c r="A14" s="183" t="s">
        <v>12</v>
      </c>
      <c r="B14" s="183"/>
      <c r="C14" s="278" t="s">
        <v>899</v>
      </c>
      <c r="D14" t="s">
        <v>899</v>
      </c>
      <c r="E14" t="s">
        <v>899</v>
      </c>
      <c r="F14" t="s">
        <v>899</v>
      </c>
      <c r="G14" t="s">
        <v>899</v>
      </c>
      <c r="H14" t="s">
        <v>899</v>
      </c>
      <c r="I14" t="s">
        <v>899</v>
      </c>
      <c r="J14" t="s">
        <v>899</v>
      </c>
      <c r="K14" t="s">
        <v>899</v>
      </c>
      <c r="L14" t="s">
        <v>899</v>
      </c>
      <c r="M14" t="s">
        <v>899</v>
      </c>
      <c r="N14" t="s">
        <v>899</v>
      </c>
      <c r="O14" t="s">
        <v>899</v>
      </c>
      <c r="P14" t="s">
        <v>899</v>
      </c>
      <c r="Q14" t="s">
        <v>899</v>
      </c>
      <c r="R14" t="s">
        <v>899</v>
      </c>
      <c r="S14" t="s">
        <v>899</v>
      </c>
      <c r="T14" t="s">
        <v>899</v>
      </c>
      <c r="U14" t="s">
        <v>899</v>
      </c>
      <c r="V14" t="s">
        <v>899</v>
      </c>
      <c r="W14" t="s">
        <v>899</v>
      </c>
      <c r="X14" t="s">
        <v>899</v>
      </c>
      <c r="Y14" t="s">
        <v>899</v>
      </c>
      <c r="Z14" t="s">
        <v>899</v>
      </c>
      <c r="AA14" t="s">
        <v>899</v>
      </c>
      <c r="AB14" t="s">
        <v>899</v>
      </c>
      <c r="AC14" t="s">
        <v>899</v>
      </c>
      <c r="AD14" t="s">
        <v>899</v>
      </c>
      <c r="AE14" t="s">
        <v>899</v>
      </c>
      <c r="AF14" t="s">
        <v>899</v>
      </c>
      <c r="AG14" t="s">
        <v>899</v>
      </c>
      <c r="AH14" t="s">
        <v>899</v>
      </c>
      <c r="AI14" t="s">
        <v>899</v>
      </c>
      <c r="AJ14" t="s">
        <v>899</v>
      </c>
      <c r="AK14" t="s">
        <v>899</v>
      </c>
      <c r="AL14" t="s">
        <v>899</v>
      </c>
      <c r="AM14" t="s">
        <v>899</v>
      </c>
      <c r="AN14" t="s">
        <v>899</v>
      </c>
      <c r="AO14" t="s">
        <v>899</v>
      </c>
      <c r="AP14" t="s">
        <v>899</v>
      </c>
      <c r="AQ14" t="s">
        <v>899</v>
      </c>
      <c r="AR14" t="s">
        <v>899</v>
      </c>
      <c r="AS14" t="s">
        <v>899</v>
      </c>
      <c r="AT14"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79">
        <v>0.28199999999999997</v>
      </c>
      <c r="O15">
        <v>0.3</v>
      </c>
      <c r="P15">
        <v>0.26800000000000002</v>
      </c>
      <c r="Q15" s="199">
        <v>0.248</v>
      </c>
      <c r="R15" s="165">
        <v>0.23400000000000001</v>
      </c>
      <c r="S15" s="165">
        <v>0.189</v>
      </c>
      <c r="T15" s="165">
        <v>0.253</v>
      </c>
      <c r="U15" s="198">
        <v>0.25</v>
      </c>
      <c r="V15" s="166">
        <v>0.23699999999999999</v>
      </c>
      <c r="W15" s="166">
        <v>0.252</v>
      </c>
      <c r="X15" s="179">
        <v>0.26900000000000002</v>
      </c>
      <c r="Y15" s="179" t="s">
        <v>899</v>
      </c>
      <c r="Z15" s="157" t="s">
        <v>899</v>
      </c>
      <c r="AA15" s="157" t="s">
        <v>899</v>
      </c>
      <c r="AB15" s="157" t="s">
        <v>899</v>
      </c>
      <c r="AC15" s="157" t="s">
        <v>899</v>
      </c>
      <c r="AD15" s="157" t="s">
        <v>899</v>
      </c>
      <c r="AE15" s="157" t="s">
        <v>899</v>
      </c>
      <c r="AF15" s="157" t="s">
        <v>899</v>
      </c>
      <c r="AG15" s="157" t="s">
        <v>908</v>
      </c>
      <c r="AH15" s="157">
        <v>0</v>
      </c>
      <c r="AI15" s="157" t="s">
        <v>908</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79">
        <v>0.32800000000000001</v>
      </c>
      <c r="O16">
        <v>0.33600000000000002</v>
      </c>
      <c r="P16">
        <v>0.33</v>
      </c>
      <c r="Q16" s="199">
        <v>0.36399999999999999</v>
      </c>
      <c r="R16" s="165">
        <v>0.38</v>
      </c>
      <c r="S16" s="165">
        <v>0.36799999999999999</v>
      </c>
      <c r="T16" s="165">
        <v>0.374</v>
      </c>
      <c r="U16" s="198">
        <v>0.36899999999999999</v>
      </c>
      <c r="V16" s="166">
        <v>0.34599999999999997</v>
      </c>
      <c r="W16" s="166">
        <v>0.32</v>
      </c>
      <c r="X16" s="179">
        <v>0.28899999999999998</v>
      </c>
      <c r="Y16" s="179" t="s">
        <v>899</v>
      </c>
      <c r="Z16" s="157" t="s">
        <v>899</v>
      </c>
      <c r="AA16" s="157" t="s">
        <v>899</v>
      </c>
      <c r="AB16" s="157" t="s">
        <v>899</v>
      </c>
      <c r="AC16" s="157" t="s">
        <v>899</v>
      </c>
      <c r="AD16" s="157" t="s">
        <v>899</v>
      </c>
      <c r="AE16" s="157" t="s">
        <v>899</v>
      </c>
      <c r="AF16" s="157" t="s">
        <v>899</v>
      </c>
      <c r="AG16" s="157" t="s">
        <v>908</v>
      </c>
      <c r="AH16" s="157">
        <v>0</v>
      </c>
      <c r="AI16" s="157" t="s">
        <v>908</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79">
        <v>0.39400000000000002</v>
      </c>
      <c r="O17">
        <v>0.45900000000000002</v>
      </c>
      <c r="P17">
        <v>0.499</v>
      </c>
      <c r="Q17" s="198">
        <v>0.51600000000000001</v>
      </c>
      <c r="R17" s="196">
        <v>0.53200000000000003</v>
      </c>
      <c r="S17" s="196">
        <v>0.45400000000000001</v>
      </c>
      <c r="T17" s="196">
        <v>0.48499999999999999</v>
      </c>
      <c r="U17" s="198">
        <v>0.47699999999999998</v>
      </c>
      <c r="V17" s="166">
        <v>0.46500000000000002</v>
      </c>
      <c r="W17" s="166">
        <v>0.47099999999999997</v>
      </c>
      <c r="X17" s="179">
        <v>0.432</v>
      </c>
      <c r="Y17" s="179">
        <v>0.51</v>
      </c>
      <c r="Z17" s="157">
        <v>0.44700000000000001</v>
      </c>
      <c r="AA17" s="157">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79">
        <v>0.35699999999999998</v>
      </c>
      <c r="O18">
        <v>0.36299999999999999</v>
      </c>
      <c r="P18">
        <v>0.36699999999999999</v>
      </c>
      <c r="Q18" s="199">
        <v>0.33500000000000002</v>
      </c>
      <c r="R18" s="165">
        <v>0.33900000000000002</v>
      </c>
      <c r="S18" s="165">
        <v>0.308</v>
      </c>
      <c r="T18" s="165">
        <v>0.29299999999999998</v>
      </c>
      <c r="U18" s="198">
        <v>0.19600000000000001</v>
      </c>
      <c r="V18" s="166">
        <v>0.19400000000000001</v>
      </c>
      <c r="W18" s="166">
        <v>0.188</v>
      </c>
      <c r="X18" s="179">
        <v>0.17899999999999999</v>
      </c>
      <c r="Y18" s="179" t="s">
        <v>899</v>
      </c>
      <c r="Z18" s="157" t="s">
        <v>899</v>
      </c>
      <c r="AA18" s="157" t="s">
        <v>899</v>
      </c>
      <c r="AB18" s="157" t="s">
        <v>899</v>
      </c>
      <c r="AC18" s="157" t="s">
        <v>899</v>
      </c>
      <c r="AD18" s="157" t="s">
        <v>899</v>
      </c>
      <c r="AE18" s="157" t="s">
        <v>899</v>
      </c>
      <c r="AF18" s="157" t="s">
        <v>899</v>
      </c>
      <c r="AG18" s="157" t="s">
        <v>908</v>
      </c>
      <c r="AH18" s="157">
        <v>0</v>
      </c>
      <c r="AI18" s="157" t="s">
        <v>908</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79">
        <v>0.44700000000000001</v>
      </c>
      <c r="O19">
        <v>0.52900000000000003</v>
      </c>
      <c r="P19">
        <v>0.51800000000000002</v>
      </c>
      <c r="Q19" s="199">
        <v>0.53700000000000003</v>
      </c>
      <c r="R19" s="165">
        <v>0.51700000000000002</v>
      </c>
      <c r="S19" s="165">
        <v>0.49099999999999999</v>
      </c>
      <c r="T19" s="165">
        <v>0.495</v>
      </c>
      <c r="U19" s="198">
        <v>0.48399999999999999</v>
      </c>
      <c r="V19" s="166">
        <v>0.47199999999999998</v>
      </c>
      <c r="W19" s="166">
        <v>0.46</v>
      </c>
      <c r="X19" s="179">
        <v>0.46500000000000002</v>
      </c>
      <c r="Y19" s="179" t="s">
        <v>899</v>
      </c>
      <c r="Z19" s="157" t="s">
        <v>899</v>
      </c>
      <c r="AA19" s="157" t="s">
        <v>899</v>
      </c>
      <c r="AB19" s="157" t="s">
        <v>899</v>
      </c>
      <c r="AC19" s="157" t="s">
        <v>899</v>
      </c>
      <c r="AD19" s="157" t="s">
        <v>899</v>
      </c>
      <c r="AE19" s="157" t="s">
        <v>899</v>
      </c>
      <c r="AF19" s="157" t="s">
        <v>899</v>
      </c>
      <c r="AG19" s="157" t="s">
        <v>908</v>
      </c>
      <c r="AH19" s="157">
        <v>0</v>
      </c>
      <c r="AI19" s="157" t="s">
        <v>908</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79">
        <v>0.23100000000000001</v>
      </c>
      <c r="O20">
        <v>0.24</v>
      </c>
      <c r="P20">
        <v>0.252</v>
      </c>
      <c r="Q20" s="199">
        <v>0.251</v>
      </c>
      <c r="R20" s="165">
        <v>0.246</v>
      </c>
      <c r="S20" s="165">
        <v>0.26300000000000001</v>
      </c>
      <c r="T20" s="165">
        <v>0.26300000000000001</v>
      </c>
      <c r="U20" s="198">
        <v>0.28599999999999998</v>
      </c>
      <c r="V20" s="166">
        <v>0.28299999999999997</v>
      </c>
      <c r="W20" s="166">
        <v>0.30599999999999999</v>
      </c>
      <c r="X20" s="179">
        <v>0.30399999999999999</v>
      </c>
      <c r="Y20" s="179" t="s">
        <v>899</v>
      </c>
      <c r="Z20" s="157" t="s">
        <v>899</v>
      </c>
      <c r="AA20" s="157" t="s">
        <v>899</v>
      </c>
      <c r="AB20" s="157" t="s">
        <v>899</v>
      </c>
      <c r="AC20" s="157" t="s">
        <v>899</v>
      </c>
      <c r="AD20" s="157" t="s">
        <v>899</v>
      </c>
      <c r="AE20" s="157" t="s">
        <v>899</v>
      </c>
      <c r="AF20" s="157" t="s">
        <v>899</v>
      </c>
      <c r="AG20" s="157" t="s">
        <v>908</v>
      </c>
      <c r="AH20" s="157">
        <v>0</v>
      </c>
      <c r="AI20" s="157" t="s">
        <v>908</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79">
        <v>0.22800000000000001</v>
      </c>
      <c r="O21">
        <v>0.22600000000000001</v>
      </c>
      <c r="P21">
        <v>0.22500000000000001</v>
      </c>
      <c r="Q21" s="199">
        <v>0.214</v>
      </c>
      <c r="R21" s="165">
        <v>0.192</v>
      </c>
      <c r="S21" s="165">
        <v>0.20100000000000001</v>
      </c>
      <c r="T21" s="165">
        <v>0.21099999999999999</v>
      </c>
      <c r="U21" s="198">
        <v>0.248</v>
      </c>
      <c r="V21" s="166">
        <v>0.255</v>
      </c>
      <c r="W21" s="166">
        <v>0.25</v>
      </c>
      <c r="X21" s="179">
        <v>0.23599999999999999</v>
      </c>
      <c r="Y21" s="179" t="s">
        <v>899</v>
      </c>
      <c r="Z21" s="157" t="s">
        <v>899</v>
      </c>
      <c r="AA21" s="157" t="s">
        <v>899</v>
      </c>
      <c r="AB21" s="157" t="s">
        <v>899</v>
      </c>
      <c r="AC21" s="157" t="s">
        <v>899</v>
      </c>
      <c r="AD21" s="157" t="s">
        <v>899</v>
      </c>
      <c r="AE21" s="157" t="s">
        <v>899</v>
      </c>
      <c r="AF21" s="157" t="s">
        <v>899</v>
      </c>
      <c r="AG21" s="157" t="s">
        <v>908</v>
      </c>
      <c r="AH21" s="157">
        <v>0</v>
      </c>
      <c r="AI21" s="157" t="s">
        <v>908</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79">
        <v>0.46</v>
      </c>
      <c r="O22">
        <v>0.52</v>
      </c>
      <c r="P22">
        <v>0.45800000000000002</v>
      </c>
      <c r="Q22" s="199">
        <v>0.47799999999999998</v>
      </c>
      <c r="R22" s="165">
        <v>0.504</v>
      </c>
      <c r="S22" s="165">
        <v>0.52600000000000002</v>
      </c>
      <c r="T22" s="165">
        <v>0.54100000000000004</v>
      </c>
      <c r="U22" s="198">
        <v>0.54800000000000004</v>
      </c>
      <c r="V22" s="166">
        <v>0.58699999999999997</v>
      </c>
      <c r="W22" s="166">
        <v>0.56200000000000006</v>
      </c>
      <c r="X22" s="179">
        <v>0.59199999999999997</v>
      </c>
      <c r="Y22" s="179">
        <v>0.52700000000000002</v>
      </c>
      <c r="Z22" s="157">
        <v>0.39800000000000002</v>
      </c>
      <c r="AA22" s="157">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79">
        <v>0.39100000000000001</v>
      </c>
      <c r="O23">
        <v>0.38200000000000001</v>
      </c>
      <c r="P23">
        <v>0.39100000000000001</v>
      </c>
      <c r="Q23" s="199">
        <v>0.38300000000000001</v>
      </c>
      <c r="R23" s="165">
        <v>0.379</v>
      </c>
      <c r="S23" s="165">
        <v>0.375</v>
      </c>
      <c r="T23" s="165">
        <v>0.40699999999999997</v>
      </c>
      <c r="U23" s="198">
        <v>0.44500000000000001</v>
      </c>
      <c r="V23" s="166">
        <v>0.42899999999999999</v>
      </c>
      <c r="W23" s="166">
        <v>0.42699999999999999</v>
      </c>
      <c r="X23" s="179">
        <v>0.4</v>
      </c>
      <c r="Y23" s="179">
        <v>0.54700000000000004</v>
      </c>
      <c r="Z23" s="157">
        <v>0.53200000000000003</v>
      </c>
      <c r="AA23" s="157">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79">
        <v>0.51</v>
      </c>
      <c r="O24">
        <v>0.53500000000000003</v>
      </c>
      <c r="P24">
        <v>0.54300000000000004</v>
      </c>
      <c r="Q24" s="199">
        <v>0.55200000000000005</v>
      </c>
      <c r="R24" s="165">
        <v>0.54</v>
      </c>
      <c r="S24" s="165">
        <v>0.52</v>
      </c>
      <c r="T24" s="165">
        <v>0.52700000000000002</v>
      </c>
      <c r="U24" s="198">
        <v>0.52100000000000002</v>
      </c>
      <c r="V24" s="166">
        <v>0.54100000000000004</v>
      </c>
      <c r="W24" s="166">
        <v>0.54200000000000004</v>
      </c>
      <c r="X24" s="179">
        <v>0.5</v>
      </c>
      <c r="Y24" s="179">
        <v>0.51200000000000001</v>
      </c>
      <c r="Z24" s="157">
        <v>0.11899999999999999</v>
      </c>
      <c r="AA24" s="157">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79">
        <v>0.311</v>
      </c>
      <c r="O25">
        <v>0.29499999999999998</v>
      </c>
      <c r="P25">
        <v>0.30399999999999999</v>
      </c>
      <c r="Q25" s="199">
        <v>0.28799999999999998</v>
      </c>
      <c r="R25" s="165">
        <v>0.26600000000000001</v>
      </c>
      <c r="S25" s="165">
        <v>0.22900000000000001</v>
      </c>
      <c r="T25" s="165">
        <v>0.24399999999999999</v>
      </c>
      <c r="U25" s="198">
        <v>0.20699999999999999</v>
      </c>
      <c r="V25" s="166">
        <v>0.22</v>
      </c>
      <c r="W25" s="166">
        <v>0.23599999999999999</v>
      </c>
      <c r="X25" s="179">
        <v>0.22500000000000001</v>
      </c>
      <c r="Y25" s="179">
        <v>0.105</v>
      </c>
      <c r="Z25" s="157">
        <v>4.9000000000000002E-2</v>
      </c>
      <c r="AA25" s="157">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79">
        <v>0.45700000000000002</v>
      </c>
      <c r="O26">
        <v>0.51300000000000001</v>
      </c>
      <c r="P26">
        <v>0.499</v>
      </c>
      <c r="Q26" s="199">
        <v>0.50600000000000001</v>
      </c>
      <c r="R26" s="165">
        <v>0.48799999999999999</v>
      </c>
      <c r="S26" s="165">
        <v>0.49099999999999999</v>
      </c>
      <c r="T26" s="165">
        <v>0.47899999999999998</v>
      </c>
      <c r="U26" s="198">
        <v>0.42399999999999999</v>
      </c>
      <c r="V26" s="166">
        <v>0.42</v>
      </c>
      <c r="W26" s="166">
        <v>0.42299999999999999</v>
      </c>
      <c r="X26" s="179">
        <v>0.441</v>
      </c>
      <c r="Y26" s="179" t="s">
        <v>899</v>
      </c>
      <c r="Z26" s="157" t="s">
        <v>899</v>
      </c>
      <c r="AA26" s="157" t="s">
        <v>899</v>
      </c>
      <c r="AB26" s="157" t="s">
        <v>899</v>
      </c>
      <c r="AC26" s="157" t="s">
        <v>899</v>
      </c>
      <c r="AD26" s="157" t="s">
        <v>899</v>
      </c>
      <c r="AE26" s="157" t="s">
        <v>899</v>
      </c>
      <c r="AF26" s="157" t="s">
        <v>899</v>
      </c>
      <c r="AG26" s="157" t="s">
        <v>908</v>
      </c>
      <c r="AH26" s="157">
        <v>0</v>
      </c>
      <c r="AI26" s="157" t="s">
        <v>908</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79">
        <v>0.44900000000000001</v>
      </c>
      <c r="O27">
        <v>0.45700000000000002</v>
      </c>
      <c r="P27">
        <v>0.434</v>
      </c>
      <c r="Q27" s="199">
        <v>0.40100000000000002</v>
      </c>
      <c r="R27" s="165">
        <v>0.36799999999999999</v>
      </c>
      <c r="S27" s="165">
        <v>0.36399999999999999</v>
      </c>
      <c r="T27" s="165">
        <v>0.36699999999999999</v>
      </c>
      <c r="U27" s="198">
        <v>0.3</v>
      </c>
      <c r="V27" s="166">
        <v>0.28499999999999998</v>
      </c>
      <c r="W27" s="166">
        <v>0.29099999999999998</v>
      </c>
      <c r="X27" s="179">
        <v>0.29799999999999999</v>
      </c>
      <c r="Y27" s="179">
        <v>0.55200000000000005</v>
      </c>
      <c r="Z27" s="157">
        <v>0.56699999999999995</v>
      </c>
      <c r="AA27" s="157">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79">
        <v>0.372</v>
      </c>
      <c r="O28">
        <v>0.38600000000000001</v>
      </c>
      <c r="P28">
        <v>0.39600000000000002</v>
      </c>
      <c r="Q28" s="199">
        <v>0.41099999999999998</v>
      </c>
      <c r="R28" s="165">
        <v>0.39900000000000002</v>
      </c>
      <c r="S28" s="165">
        <v>0.45100000000000001</v>
      </c>
      <c r="T28" s="165">
        <v>0.33500000000000002</v>
      </c>
      <c r="U28" s="198">
        <v>0.35799999999999998</v>
      </c>
      <c r="V28" s="166">
        <v>0.39600000000000002</v>
      </c>
      <c r="W28" s="166">
        <v>0.38400000000000001</v>
      </c>
      <c r="X28" s="179">
        <v>0.27500000000000002</v>
      </c>
      <c r="Y28" s="179">
        <v>0.54300000000000004</v>
      </c>
      <c r="Z28" s="157">
        <v>0.51700000000000002</v>
      </c>
      <c r="AA28" s="157">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79">
        <v>0.27500000000000002</v>
      </c>
      <c r="O29">
        <v>0.36799999999999999</v>
      </c>
      <c r="P29">
        <v>0.41</v>
      </c>
      <c r="Q29" s="199">
        <v>0.40300000000000002</v>
      </c>
      <c r="R29" s="165">
        <v>0.41299999999999998</v>
      </c>
      <c r="S29" s="165">
        <v>0.42299999999999999</v>
      </c>
      <c r="T29" s="165">
        <v>0.42099999999999999</v>
      </c>
      <c r="U29" s="198">
        <v>0.40300000000000002</v>
      </c>
      <c r="V29" s="166">
        <v>0.40300000000000002</v>
      </c>
      <c r="W29" s="166">
        <v>0.40300000000000002</v>
      </c>
      <c r="X29" s="179">
        <v>0.36</v>
      </c>
      <c r="Y29" s="179" t="s">
        <v>899</v>
      </c>
      <c r="Z29" s="157" t="s">
        <v>899</v>
      </c>
      <c r="AA29" s="157" t="s">
        <v>899</v>
      </c>
      <c r="AB29" s="157" t="s">
        <v>899</v>
      </c>
      <c r="AC29" s="157" t="s">
        <v>899</v>
      </c>
      <c r="AD29" s="157" t="s">
        <v>899</v>
      </c>
      <c r="AE29" s="157" t="s">
        <v>899</v>
      </c>
      <c r="AF29" s="157" t="s">
        <v>899</v>
      </c>
      <c r="AG29" s="157" t="s">
        <v>908</v>
      </c>
      <c r="AH29" s="157">
        <v>0</v>
      </c>
      <c r="AI29" s="157" t="s">
        <v>908</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79">
        <v>0.24299999999999999</v>
      </c>
      <c r="O30">
        <v>0.30599999999999999</v>
      </c>
      <c r="P30">
        <v>0.307</v>
      </c>
      <c r="Q30" s="199">
        <v>0.373</v>
      </c>
      <c r="R30" s="165">
        <v>0.38900000000000001</v>
      </c>
      <c r="S30" s="165">
        <v>0.39100000000000001</v>
      </c>
      <c r="T30" s="165">
        <v>0.44400000000000001</v>
      </c>
      <c r="U30" s="198">
        <v>0.47099999999999997</v>
      </c>
      <c r="V30" s="166">
        <v>0.48</v>
      </c>
      <c r="W30" s="166">
        <v>0.47899999999999998</v>
      </c>
      <c r="X30" s="179">
        <v>0.48099999999999998</v>
      </c>
      <c r="Y30" s="179" t="s">
        <v>899</v>
      </c>
      <c r="Z30" s="157" t="s">
        <v>899</v>
      </c>
      <c r="AA30" s="157" t="s">
        <v>899</v>
      </c>
      <c r="AB30" s="157" t="s">
        <v>899</v>
      </c>
      <c r="AC30" s="157" t="s">
        <v>899</v>
      </c>
      <c r="AD30" s="157" t="s">
        <v>899</v>
      </c>
      <c r="AE30" s="157" t="s">
        <v>899</v>
      </c>
      <c r="AF30" s="157" t="s">
        <v>899</v>
      </c>
      <c r="AG30" s="157" t="s">
        <v>908</v>
      </c>
      <c r="AH30" s="157">
        <v>0</v>
      </c>
      <c r="AI30" s="157" t="s">
        <v>908</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79">
        <v>0.28999999999999998</v>
      </c>
      <c r="O31">
        <v>0.33100000000000002</v>
      </c>
      <c r="P31">
        <v>0.36199999999999999</v>
      </c>
      <c r="Q31" s="199">
        <v>0.40500000000000003</v>
      </c>
      <c r="R31" s="165">
        <v>0.44500000000000001</v>
      </c>
      <c r="S31" s="165">
        <v>0.41</v>
      </c>
      <c r="T31" s="165">
        <v>0.376</v>
      </c>
      <c r="U31" s="199">
        <v>0.35199999999999998</v>
      </c>
      <c r="V31" s="201">
        <v>0.33500000000000002</v>
      </c>
      <c r="W31" s="201">
        <v>0.372</v>
      </c>
      <c r="X31" s="179">
        <v>0.34799999999999998</v>
      </c>
      <c r="Y31" s="179" t="s">
        <v>899</v>
      </c>
      <c r="Z31" s="157" t="s">
        <v>899</v>
      </c>
      <c r="AA31" s="157" t="s">
        <v>899</v>
      </c>
      <c r="AB31" s="157" t="s">
        <v>899</v>
      </c>
      <c r="AC31" s="157" t="s">
        <v>899</v>
      </c>
      <c r="AD31" s="157" t="s">
        <v>899</v>
      </c>
      <c r="AE31" s="157" t="s">
        <v>899</v>
      </c>
      <c r="AF31" s="157" t="s">
        <v>899</v>
      </c>
      <c r="AG31" s="157" t="s">
        <v>908</v>
      </c>
      <c r="AH31" s="157">
        <v>0</v>
      </c>
      <c r="AI31" s="157" t="s">
        <v>908</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t="s">
        <v>899</v>
      </c>
      <c r="L32" s="165">
        <v>432.2</v>
      </c>
      <c r="M32" s="165">
        <v>455.9</v>
      </c>
      <c r="N32" t="s">
        <v>899</v>
      </c>
      <c r="O32" t="s">
        <v>899</v>
      </c>
      <c r="P32" t="s">
        <v>899</v>
      </c>
      <c r="Q32" t="s">
        <v>899</v>
      </c>
      <c r="R32" t="s">
        <v>899</v>
      </c>
      <c r="S32" t="s">
        <v>899</v>
      </c>
      <c r="T32" t="s">
        <v>899</v>
      </c>
      <c r="U32" t="s">
        <v>899</v>
      </c>
      <c r="V32" t="s">
        <v>899</v>
      </c>
      <c r="W32" s="166">
        <v>0.53900000000000003</v>
      </c>
      <c r="X32" s="179">
        <v>0.51300000000000001</v>
      </c>
      <c r="Y32" t="s">
        <v>899</v>
      </c>
      <c r="Z32" t="s">
        <v>899</v>
      </c>
      <c r="AA32" t="s">
        <v>899</v>
      </c>
      <c r="AB32" t="s">
        <v>899</v>
      </c>
      <c r="AC32" t="s">
        <v>899</v>
      </c>
      <c r="AD32" t="s">
        <v>899</v>
      </c>
      <c r="AE32" t="s">
        <v>899</v>
      </c>
      <c r="AF32" t="s">
        <v>899</v>
      </c>
      <c r="AG32" t="s">
        <v>899</v>
      </c>
      <c r="AH32" s="157">
        <v>0.14199999999999999</v>
      </c>
      <c r="AI32" s="157">
        <v>0.13700000000000001</v>
      </c>
      <c r="AJ32" t="s">
        <v>899</v>
      </c>
      <c r="AK32" t="s">
        <v>899</v>
      </c>
      <c r="AL32" t="s">
        <v>899</v>
      </c>
      <c r="AM32" t="s">
        <v>899</v>
      </c>
      <c r="AN32" t="s">
        <v>899</v>
      </c>
      <c r="AO32" t="s">
        <v>899</v>
      </c>
      <c r="AP32" t="s">
        <v>899</v>
      </c>
      <c r="AQ32" t="s">
        <v>899</v>
      </c>
      <c r="AR32"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79">
        <v>0.40200000000000002</v>
      </c>
      <c r="O33">
        <v>0.42499999999999999</v>
      </c>
      <c r="P33">
        <v>0.38500000000000001</v>
      </c>
      <c r="Q33" s="199">
        <v>0.36499999999999999</v>
      </c>
      <c r="R33" s="165">
        <v>0.39300000000000002</v>
      </c>
      <c r="S33" s="165">
        <v>0.38</v>
      </c>
      <c r="T33" s="165">
        <v>0.40100000000000002</v>
      </c>
      <c r="U33" s="198">
        <v>0.39200000000000002</v>
      </c>
      <c r="V33" s="166">
        <v>0.39400000000000002</v>
      </c>
      <c r="W33" s="166">
        <v>0.42899999999999999</v>
      </c>
      <c r="X33" s="179">
        <v>0.434</v>
      </c>
      <c r="Y33" s="179">
        <v>0.224</v>
      </c>
      <c r="Z33" s="157">
        <v>0.20899999999999999</v>
      </c>
      <c r="AA33" s="157">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79">
        <v>0.33800000000000002</v>
      </c>
      <c r="O34">
        <v>0.39800000000000002</v>
      </c>
      <c r="P34">
        <v>0.51800000000000002</v>
      </c>
      <c r="Q34" s="199">
        <v>0.50800000000000001</v>
      </c>
      <c r="R34" s="165">
        <v>0.51600000000000001</v>
      </c>
      <c r="S34" s="165">
        <v>0.39900000000000002</v>
      </c>
      <c r="T34" s="165">
        <v>0.37</v>
      </c>
      <c r="U34" s="198">
        <v>0.34599999999999997</v>
      </c>
      <c r="V34" s="166">
        <v>0.39500000000000002</v>
      </c>
      <c r="W34" s="166">
        <v>0.40699999999999997</v>
      </c>
      <c r="X34" s="179">
        <v>0.378</v>
      </c>
      <c r="Y34" s="179">
        <v>0.66700000000000004</v>
      </c>
      <c r="Z34" s="157">
        <v>0.44500000000000001</v>
      </c>
      <c r="AA34" s="157">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79">
        <v>0.54</v>
      </c>
      <c r="O35">
        <v>0.55700000000000005</v>
      </c>
      <c r="P35">
        <v>0.56899999999999995</v>
      </c>
      <c r="Q35" s="199">
        <v>0.56000000000000005</v>
      </c>
      <c r="R35" s="165">
        <v>0.54300000000000004</v>
      </c>
      <c r="S35" s="165">
        <v>0.52400000000000002</v>
      </c>
      <c r="T35" s="165">
        <v>0.497</v>
      </c>
      <c r="U35" s="198">
        <v>0.495</v>
      </c>
      <c r="V35" s="166">
        <v>0.47599999999999998</v>
      </c>
      <c r="W35" s="166">
        <v>0.48399999999999999</v>
      </c>
      <c r="X35" s="179">
        <v>0.45800000000000002</v>
      </c>
      <c r="Y35" s="179" t="s">
        <v>899</v>
      </c>
      <c r="Z35" s="157" t="s">
        <v>899</v>
      </c>
      <c r="AA35" s="157" t="s">
        <v>899</v>
      </c>
      <c r="AB35" s="157" t="s">
        <v>899</v>
      </c>
      <c r="AC35" s="157" t="s">
        <v>899</v>
      </c>
      <c r="AD35" s="157" t="s">
        <v>899</v>
      </c>
      <c r="AE35" s="157" t="s">
        <v>899</v>
      </c>
      <c r="AF35" s="157" t="s">
        <v>899</v>
      </c>
      <c r="AG35" s="157" t="s">
        <v>908</v>
      </c>
      <c r="AH35" s="157">
        <v>0</v>
      </c>
      <c r="AI35" s="157" t="s">
        <v>908</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79">
        <v>0.40699999999999997</v>
      </c>
      <c r="O36">
        <v>0.375</v>
      </c>
      <c r="P36">
        <v>0.37</v>
      </c>
      <c r="Q36" s="199">
        <v>0.36199999999999999</v>
      </c>
      <c r="R36" s="165">
        <v>0.373</v>
      </c>
      <c r="S36" s="165">
        <v>0.39900000000000002</v>
      </c>
      <c r="T36" s="165">
        <v>0.40300000000000002</v>
      </c>
      <c r="U36" s="198">
        <v>0.40100000000000002</v>
      </c>
      <c r="V36" s="166">
        <v>0.374</v>
      </c>
      <c r="W36" s="166">
        <v>0.38700000000000001</v>
      </c>
      <c r="X36" s="179">
        <v>0.38600000000000001</v>
      </c>
      <c r="Y36" s="179" t="s">
        <v>899</v>
      </c>
      <c r="Z36" s="157" t="s">
        <v>899</v>
      </c>
      <c r="AA36" s="157" t="s">
        <v>899</v>
      </c>
      <c r="AB36" s="157" t="s">
        <v>899</v>
      </c>
      <c r="AC36" s="157" t="s">
        <v>899</v>
      </c>
      <c r="AD36" s="157" t="s">
        <v>899</v>
      </c>
      <c r="AE36" s="157" t="s">
        <v>899</v>
      </c>
      <c r="AF36" s="157" t="s">
        <v>899</v>
      </c>
      <c r="AG36" s="157" t="s">
        <v>908</v>
      </c>
      <c r="AH36" s="157">
        <v>0</v>
      </c>
      <c r="AI36" s="157" t="s">
        <v>908</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79">
        <v>0.33400000000000002</v>
      </c>
      <c r="O37">
        <v>0.36799999999999999</v>
      </c>
      <c r="P37">
        <v>0.42499999999999999</v>
      </c>
      <c r="Q37" s="199">
        <v>0.40799999999999997</v>
      </c>
      <c r="R37" s="165">
        <v>0.35199999999999998</v>
      </c>
      <c r="S37" s="165">
        <v>0.35799999999999998</v>
      </c>
      <c r="T37" s="165">
        <v>0.36399999999999999</v>
      </c>
      <c r="U37" s="198">
        <v>0.36499999999999999</v>
      </c>
      <c r="V37" s="166">
        <v>0.36599999999999999</v>
      </c>
      <c r="W37" s="166">
        <v>0.34200000000000003</v>
      </c>
      <c r="X37" s="179">
        <v>0.33400000000000002</v>
      </c>
      <c r="Y37" s="179" t="s">
        <v>899</v>
      </c>
      <c r="Z37" s="157" t="s">
        <v>899</v>
      </c>
      <c r="AA37" s="157" t="s">
        <v>899</v>
      </c>
      <c r="AB37" s="157" t="s">
        <v>899</v>
      </c>
      <c r="AC37" s="157" t="s">
        <v>899</v>
      </c>
      <c r="AD37" s="157" t="s">
        <v>899</v>
      </c>
      <c r="AE37" s="157" t="s">
        <v>899</v>
      </c>
      <c r="AF37" s="157" t="s">
        <v>899</v>
      </c>
      <c r="AG37" s="157" t="s">
        <v>908</v>
      </c>
      <c r="AH37" s="157">
        <v>0</v>
      </c>
      <c r="AI37" s="157" t="s">
        <v>908</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79">
        <v>0.44800000000000001</v>
      </c>
      <c r="O38">
        <v>0.47299999999999998</v>
      </c>
      <c r="P38">
        <v>0.49</v>
      </c>
      <c r="Q38" s="199">
        <v>0.503</v>
      </c>
      <c r="R38" s="165">
        <v>0.48599999999999999</v>
      </c>
      <c r="S38" s="165">
        <v>0.45900000000000002</v>
      </c>
      <c r="T38" s="165">
        <v>0.45200000000000001</v>
      </c>
      <c r="U38" s="198">
        <v>0.44400000000000001</v>
      </c>
      <c r="V38" s="166">
        <v>0.44500000000000001</v>
      </c>
      <c r="W38" s="166">
        <v>0.42099999999999999</v>
      </c>
      <c r="X38" s="179">
        <v>0.41599999999999998</v>
      </c>
      <c r="Y38" s="179" t="s">
        <v>899</v>
      </c>
      <c r="Z38" s="157" t="s">
        <v>899</v>
      </c>
      <c r="AA38" s="157" t="s">
        <v>899</v>
      </c>
      <c r="AB38" s="157" t="s">
        <v>899</v>
      </c>
      <c r="AC38" s="157" t="s">
        <v>899</v>
      </c>
      <c r="AD38" s="157" t="s">
        <v>899</v>
      </c>
      <c r="AE38" s="157" t="s">
        <v>899</v>
      </c>
      <c r="AF38" s="157" t="s">
        <v>899</v>
      </c>
      <c r="AG38" s="157" t="s">
        <v>908</v>
      </c>
      <c r="AH38" s="157">
        <v>0</v>
      </c>
      <c r="AI38" s="157" t="s">
        <v>908</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79">
        <v>0.27700000000000002</v>
      </c>
      <c r="O39">
        <v>0.28100000000000003</v>
      </c>
      <c r="P39">
        <v>0.26800000000000002</v>
      </c>
      <c r="Q39" s="199">
        <v>0.25800000000000001</v>
      </c>
      <c r="R39" s="165">
        <v>0.252</v>
      </c>
      <c r="S39" s="165">
        <v>0.246</v>
      </c>
      <c r="T39" s="165">
        <v>0.27</v>
      </c>
      <c r="U39" s="198">
        <v>0.28599999999999998</v>
      </c>
      <c r="V39" s="166">
        <v>0.29199999999999998</v>
      </c>
      <c r="W39" s="166">
        <v>0.29399999999999998</v>
      </c>
      <c r="X39" s="179">
        <v>0.29199999999999998</v>
      </c>
      <c r="Y39" s="179">
        <v>0.46</v>
      </c>
      <c r="Z39" s="157">
        <v>0.26500000000000001</v>
      </c>
      <c r="AA39" s="157">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79">
        <v>0.374</v>
      </c>
      <c r="O40">
        <v>0.41</v>
      </c>
      <c r="P40">
        <v>0.45300000000000001</v>
      </c>
      <c r="Q40" s="199">
        <v>0.41499999999999998</v>
      </c>
      <c r="R40" s="165">
        <v>0.435</v>
      </c>
      <c r="S40" s="165">
        <v>0.436</v>
      </c>
      <c r="T40" s="165">
        <v>0.434</v>
      </c>
      <c r="U40" s="198">
        <v>0.44900000000000001</v>
      </c>
      <c r="V40" s="166">
        <v>0.47399999999999998</v>
      </c>
      <c r="W40" s="166">
        <v>0.47099999999999997</v>
      </c>
      <c r="X40" s="179">
        <v>0.46400000000000002</v>
      </c>
      <c r="Y40" s="179">
        <v>0.57699999999999996</v>
      </c>
      <c r="Z40" s="157">
        <v>0.38700000000000001</v>
      </c>
      <c r="AA40" s="157">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79">
        <v>0.502</v>
      </c>
      <c r="O41">
        <v>0.48899999999999999</v>
      </c>
      <c r="P41">
        <v>0.45400000000000001</v>
      </c>
      <c r="Q41" s="199">
        <v>0.44400000000000001</v>
      </c>
      <c r="R41" s="165">
        <v>0.46800000000000003</v>
      </c>
      <c r="S41" s="165">
        <v>0.50600000000000001</v>
      </c>
      <c r="T41" s="165">
        <v>0.50900000000000001</v>
      </c>
      <c r="U41" s="199">
        <v>0.5</v>
      </c>
      <c r="V41" s="201">
        <v>0.48199999999999998</v>
      </c>
      <c r="W41" s="201">
        <v>0.496</v>
      </c>
      <c r="X41" s="179">
        <v>0.49</v>
      </c>
      <c r="Y41" s="179" t="s">
        <v>899</v>
      </c>
      <c r="Z41" s="157" t="s">
        <v>899</v>
      </c>
      <c r="AA41" s="157" t="s">
        <v>899</v>
      </c>
      <c r="AB41" s="157" t="s">
        <v>899</v>
      </c>
      <c r="AC41" s="157" t="s">
        <v>899</v>
      </c>
      <c r="AD41" s="157" t="s">
        <v>899</v>
      </c>
      <c r="AE41" s="157" t="s">
        <v>899</v>
      </c>
      <c r="AF41" s="157" t="s">
        <v>899</v>
      </c>
      <c r="AG41" s="157" t="s">
        <v>908</v>
      </c>
      <c r="AH41" s="157">
        <v>0</v>
      </c>
      <c r="AI41" s="157" t="s">
        <v>908</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79">
        <v>0.443</v>
      </c>
      <c r="O42">
        <v>0.499</v>
      </c>
      <c r="P42">
        <v>0.49099999999999999</v>
      </c>
      <c r="Q42" s="199">
        <v>0.496</v>
      </c>
      <c r="R42" s="165">
        <v>0.48</v>
      </c>
      <c r="S42" s="165">
        <v>0.46300000000000002</v>
      </c>
      <c r="T42" s="165">
        <v>0.46899999999999997</v>
      </c>
      <c r="U42" s="198">
        <v>0.5</v>
      </c>
      <c r="V42" s="166">
        <v>0.501</v>
      </c>
      <c r="W42" s="166">
        <v>0.50900000000000001</v>
      </c>
      <c r="X42" s="179">
        <v>0.44800000000000001</v>
      </c>
      <c r="Y42" s="179">
        <v>0.33400000000000002</v>
      </c>
      <c r="Z42" s="157">
        <v>0.26600000000000001</v>
      </c>
      <c r="AA42" s="157">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79">
        <v>0.40500000000000003</v>
      </c>
      <c r="O43">
        <v>0.41699999999999998</v>
      </c>
      <c r="P43">
        <v>0.41499999999999998</v>
      </c>
      <c r="Q43" s="199">
        <v>0.40200000000000002</v>
      </c>
      <c r="R43" s="165">
        <v>0.438</v>
      </c>
      <c r="S43" s="165">
        <v>0.443</v>
      </c>
      <c r="T43" s="165">
        <v>0.44700000000000001</v>
      </c>
      <c r="U43" s="198">
        <v>0.439</v>
      </c>
      <c r="V43" s="166">
        <v>0.42099999999999999</v>
      </c>
      <c r="W43" s="166">
        <v>0.41</v>
      </c>
      <c r="X43" s="179">
        <v>0.41599999999999998</v>
      </c>
      <c r="Y43" s="179" t="s">
        <v>899</v>
      </c>
      <c r="Z43" s="157" t="s">
        <v>899</v>
      </c>
      <c r="AA43" s="157" t="s">
        <v>899</v>
      </c>
      <c r="AB43" s="157" t="s">
        <v>899</v>
      </c>
      <c r="AC43" s="157" t="s">
        <v>899</v>
      </c>
      <c r="AD43" s="157" t="s">
        <v>899</v>
      </c>
      <c r="AE43" s="157" t="s">
        <v>899</v>
      </c>
      <c r="AF43" s="157" t="s">
        <v>899</v>
      </c>
      <c r="AG43" s="157" t="s">
        <v>908</v>
      </c>
      <c r="AH43" s="157">
        <v>0</v>
      </c>
      <c r="AI43" s="157" t="s">
        <v>908</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79">
        <v>0.39300000000000002</v>
      </c>
      <c r="O44">
        <v>0.39600000000000002</v>
      </c>
      <c r="P44">
        <v>0.34300000000000003</v>
      </c>
      <c r="Q44" s="199">
        <v>0.35</v>
      </c>
      <c r="R44" s="165">
        <v>0.35</v>
      </c>
      <c r="S44" s="165">
        <v>0.40300000000000002</v>
      </c>
      <c r="T44" s="165">
        <v>0.41099999999999998</v>
      </c>
      <c r="U44" s="199">
        <v>0.41799999999999998</v>
      </c>
      <c r="V44" s="201">
        <v>0.42</v>
      </c>
      <c r="W44" s="201">
        <v>0.41499999999999998</v>
      </c>
      <c r="X44" s="179">
        <v>0.42399999999999999</v>
      </c>
      <c r="Y44" s="179" t="s">
        <v>899</v>
      </c>
      <c r="Z44" s="157" t="s">
        <v>899</v>
      </c>
      <c r="AA44" s="157" t="s">
        <v>899</v>
      </c>
      <c r="AB44" s="157" t="s">
        <v>899</v>
      </c>
      <c r="AC44" s="157" t="s">
        <v>899</v>
      </c>
      <c r="AD44" s="157" t="s">
        <v>899</v>
      </c>
      <c r="AE44" s="157" t="s">
        <v>899</v>
      </c>
      <c r="AF44" s="157" t="s">
        <v>899</v>
      </c>
      <c r="AG44" s="157" t="s">
        <v>908</v>
      </c>
      <c r="AH44" s="157">
        <v>0</v>
      </c>
      <c r="AI44" s="157" t="s">
        <v>908</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79">
        <v>0.42599999999999999</v>
      </c>
      <c r="O45">
        <v>0.41599999999999998</v>
      </c>
      <c r="P45">
        <v>0.41199999999999998</v>
      </c>
      <c r="Q45" s="199">
        <v>0.40200000000000002</v>
      </c>
      <c r="R45" s="165">
        <v>0.39</v>
      </c>
      <c r="S45" s="165">
        <v>0.38500000000000001</v>
      </c>
      <c r="T45" s="165">
        <v>0.39900000000000002</v>
      </c>
      <c r="U45" s="198">
        <v>0.38500000000000001</v>
      </c>
      <c r="V45" s="166">
        <v>0.38400000000000001</v>
      </c>
      <c r="W45" s="166">
        <v>0.36899999999999999</v>
      </c>
      <c r="X45" s="179">
        <v>0.375</v>
      </c>
      <c r="Y45" s="179" t="s">
        <v>899</v>
      </c>
      <c r="Z45" s="157" t="s">
        <v>899</v>
      </c>
      <c r="AA45" s="157" t="s">
        <v>899</v>
      </c>
      <c r="AB45" s="157" t="s">
        <v>899</v>
      </c>
      <c r="AC45" s="157" t="s">
        <v>899</v>
      </c>
      <c r="AD45" s="157" t="s">
        <v>899</v>
      </c>
      <c r="AE45" s="157" t="s">
        <v>899</v>
      </c>
      <c r="AF45" s="157" t="s">
        <v>899</v>
      </c>
      <c r="AG45" s="157" t="s">
        <v>908</v>
      </c>
      <c r="AH45" s="157">
        <v>0</v>
      </c>
      <c r="AI45" s="157" t="s">
        <v>908</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79">
        <v>0.45100000000000001</v>
      </c>
      <c r="O46">
        <v>0.45300000000000001</v>
      </c>
      <c r="P46">
        <v>0.47599999999999998</v>
      </c>
      <c r="Q46" s="199">
        <v>0.54</v>
      </c>
      <c r="R46" s="165">
        <v>0.56999999999999995</v>
      </c>
      <c r="S46" s="165">
        <v>0.55500000000000005</v>
      </c>
      <c r="T46" s="165">
        <v>0.55400000000000005</v>
      </c>
      <c r="U46" s="198">
        <v>0.56599999999999995</v>
      </c>
      <c r="V46" s="166">
        <v>0.56100000000000005</v>
      </c>
      <c r="W46" s="166">
        <v>0.53900000000000003</v>
      </c>
      <c r="X46" s="179">
        <v>0.51200000000000001</v>
      </c>
      <c r="Y46" s="179">
        <v>0.57799999999999996</v>
      </c>
      <c r="Z46" s="157">
        <v>0.57599999999999996</v>
      </c>
      <c r="AA46" s="157">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79">
        <v>0.33800000000000002</v>
      </c>
      <c r="O47">
        <v>0.34</v>
      </c>
      <c r="P47">
        <v>0.32700000000000001</v>
      </c>
      <c r="Q47" s="199">
        <v>0.32700000000000001</v>
      </c>
      <c r="R47" s="165">
        <v>0.317</v>
      </c>
      <c r="S47" s="165">
        <v>0.35299999999999998</v>
      </c>
      <c r="T47" s="165">
        <v>0.35499999999999998</v>
      </c>
      <c r="U47" s="198">
        <v>0.32800000000000001</v>
      </c>
      <c r="V47" s="166">
        <v>0.32500000000000001</v>
      </c>
      <c r="W47" s="166">
        <v>0.32200000000000001</v>
      </c>
      <c r="X47" s="179">
        <v>0.33300000000000002</v>
      </c>
      <c r="Y47" s="179" t="s">
        <v>899</v>
      </c>
      <c r="Z47" s="157" t="s">
        <v>899</v>
      </c>
      <c r="AA47" s="157" t="s">
        <v>899</v>
      </c>
      <c r="AB47" s="157" t="s">
        <v>899</v>
      </c>
      <c r="AC47" s="157" t="s">
        <v>899</v>
      </c>
      <c r="AD47" s="157" t="s">
        <v>899</v>
      </c>
      <c r="AE47" s="157" t="s">
        <v>899</v>
      </c>
      <c r="AF47" s="157" t="s">
        <v>899</v>
      </c>
      <c r="AG47" s="157" t="s">
        <v>908</v>
      </c>
      <c r="AH47" s="157">
        <v>0</v>
      </c>
      <c r="AI47" s="157" t="s">
        <v>908</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79">
        <v>0.24299999999999999</v>
      </c>
      <c r="O48">
        <v>0.36299999999999999</v>
      </c>
      <c r="P48">
        <v>0.43</v>
      </c>
      <c r="Q48" s="199">
        <v>0.43</v>
      </c>
      <c r="R48" s="165">
        <v>0.46600000000000003</v>
      </c>
      <c r="S48" s="165">
        <v>0.49099999999999999</v>
      </c>
      <c r="T48" s="165">
        <v>0.52700000000000002</v>
      </c>
      <c r="U48" s="198">
        <v>0.51700000000000002</v>
      </c>
      <c r="V48" s="166">
        <v>0.52</v>
      </c>
      <c r="W48" s="166">
        <v>0.51600000000000001</v>
      </c>
      <c r="X48" s="179">
        <v>0.505</v>
      </c>
      <c r="Y48" s="179" t="s">
        <v>899</v>
      </c>
      <c r="Z48" s="157" t="s">
        <v>899</v>
      </c>
      <c r="AA48" s="157" t="s">
        <v>899</v>
      </c>
      <c r="AB48" s="157" t="s">
        <v>899</v>
      </c>
      <c r="AC48" s="157" t="s">
        <v>899</v>
      </c>
      <c r="AD48" s="157" t="s">
        <v>899</v>
      </c>
      <c r="AE48" s="157" t="s">
        <v>899</v>
      </c>
      <c r="AF48" s="157" t="s">
        <v>899</v>
      </c>
      <c r="AG48" s="157" t="s">
        <v>908</v>
      </c>
      <c r="AH48" s="157">
        <v>0</v>
      </c>
      <c r="AI48" s="157" t="s">
        <v>908</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s="278">
        <v>441.6</v>
      </c>
      <c r="J49" s="278">
        <v>450.2</v>
      </c>
      <c r="K49" s="278">
        <v>434.3</v>
      </c>
      <c r="L49" s="165">
        <v>374.6</v>
      </c>
      <c r="M49" s="165">
        <v>403.2</v>
      </c>
      <c r="N49" s="179">
        <v>0.41099999999999998</v>
      </c>
      <c r="O49">
        <v>0.437</v>
      </c>
      <c r="P49">
        <v>0.60599999999999998</v>
      </c>
      <c r="Q49" s="279">
        <v>0.60099999999999998</v>
      </c>
      <c r="R49" s="278">
        <v>0.60399999999999998</v>
      </c>
      <c r="S49" s="278">
        <v>0.46300000000000002</v>
      </c>
      <c r="T49" s="278">
        <v>0.497</v>
      </c>
      <c r="U49" s="198">
        <v>0.48</v>
      </c>
      <c r="V49" s="166">
        <v>0.496</v>
      </c>
      <c r="W49" s="166">
        <v>0.55800000000000005</v>
      </c>
      <c r="X49" s="179">
        <v>0.53500000000000003</v>
      </c>
      <c r="Y49" s="179">
        <v>0.53500000000000003</v>
      </c>
      <c r="Z49" s="164">
        <v>0.49099999999999999</v>
      </c>
      <c r="AA49" s="278">
        <v>0.16400000000000001</v>
      </c>
      <c r="AB49" s="278">
        <v>0.17100000000000001</v>
      </c>
      <c r="AC49" s="278">
        <v>0.161</v>
      </c>
      <c r="AD49" s="157">
        <v>0.16700000000000001</v>
      </c>
      <c r="AE49" s="157">
        <v>6.2E-2</v>
      </c>
      <c r="AF49" s="157">
        <v>3.6999999999999998E-2</v>
      </c>
      <c r="AG49" s="157">
        <v>0.02</v>
      </c>
      <c r="AH49" s="157">
        <v>1.2999999999999999E-2</v>
      </c>
      <c r="AI49" s="157">
        <v>7.0000000000000001E-3</v>
      </c>
      <c r="AJ49" s="278">
        <v>388.8</v>
      </c>
      <c r="AK49" s="278">
        <v>379.6</v>
      </c>
      <c r="AL49" s="278">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t="s">
        <v>899</v>
      </c>
      <c r="L50" t="s">
        <v>899</v>
      </c>
      <c r="M50" t="s">
        <v>899</v>
      </c>
      <c r="N50" s="179">
        <v>0.437</v>
      </c>
      <c r="O50">
        <v>0.432</v>
      </c>
      <c r="P50">
        <v>0.42799999999999999</v>
      </c>
      <c r="Q50" s="199">
        <v>0.441</v>
      </c>
      <c r="R50" s="165">
        <v>0.43099999999999999</v>
      </c>
      <c r="S50" s="165">
        <v>0.42699999999999999</v>
      </c>
      <c r="T50" t="s">
        <v>899</v>
      </c>
      <c r="U50" t="s">
        <v>899</v>
      </c>
      <c r="V50" t="s">
        <v>899</v>
      </c>
      <c r="W50" t="s">
        <v>899</v>
      </c>
      <c r="X50" t="s">
        <v>899</v>
      </c>
      <c r="Y50" s="179" t="s">
        <v>899</v>
      </c>
      <c r="Z50" s="157" t="s">
        <v>899</v>
      </c>
      <c r="AA50" s="157" t="s">
        <v>899</v>
      </c>
      <c r="AB50" s="157" t="s">
        <v>899</v>
      </c>
      <c r="AC50" s="157" t="s">
        <v>899</v>
      </c>
      <c r="AD50" s="157" t="s">
        <v>899</v>
      </c>
      <c r="AE50" t="s">
        <v>899</v>
      </c>
      <c r="AF50" t="s">
        <v>899</v>
      </c>
      <c r="AG50" t="s">
        <v>899</v>
      </c>
      <c r="AH50" t="s">
        <v>899</v>
      </c>
      <c r="AI50" t="s">
        <v>899</v>
      </c>
      <c r="AJ50" s="157">
        <v>368.4</v>
      </c>
      <c r="AK50" s="157">
        <v>351.8</v>
      </c>
      <c r="AL50" s="157">
        <v>358.4</v>
      </c>
      <c r="AM50" s="157">
        <v>369.1</v>
      </c>
      <c r="AN50" s="157">
        <v>359</v>
      </c>
      <c r="AO50" s="157">
        <v>357</v>
      </c>
      <c r="AP50" t="s">
        <v>899</v>
      </c>
      <c r="AQ50" t="s">
        <v>899</v>
      </c>
      <c r="AR50" t="s">
        <v>899</v>
      </c>
      <c r="AS50" t="s">
        <v>899</v>
      </c>
      <c r="AT50"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79">
        <v>0.54200000000000004</v>
      </c>
      <c r="O51">
        <v>0.55800000000000005</v>
      </c>
      <c r="P51">
        <v>0.53900000000000003</v>
      </c>
      <c r="Q51" s="199">
        <v>0.56000000000000005</v>
      </c>
      <c r="R51" s="165">
        <v>0.58199999999999996</v>
      </c>
      <c r="S51" s="165">
        <v>0.57299999999999995</v>
      </c>
      <c r="T51" s="165">
        <v>0.53800000000000003</v>
      </c>
      <c r="U51" s="198">
        <v>0.54800000000000004</v>
      </c>
      <c r="V51" s="166">
        <v>0.55300000000000005</v>
      </c>
      <c r="W51" s="166">
        <v>0.55400000000000005</v>
      </c>
      <c r="X51" s="179">
        <v>0.53900000000000003</v>
      </c>
      <c r="Y51" s="179">
        <v>0.41499999999999998</v>
      </c>
      <c r="Z51" s="157">
        <v>0.36099999999999999</v>
      </c>
      <c r="AA51" s="157">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79">
        <v>0.32200000000000001</v>
      </c>
      <c r="O52">
        <v>0.33</v>
      </c>
      <c r="P52">
        <v>0.309</v>
      </c>
      <c r="Q52" s="199">
        <v>0.29299999999999998</v>
      </c>
      <c r="R52" s="165">
        <v>0.26300000000000001</v>
      </c>
      <c r="S52" s="165">
        <v>0.248</v>
      </c>
      <c r="T52" s="165">
        <v>0.26600000000000001</v>
      </c>
      <c r="U52" s="198">
        <v>0.30299999999999999</v>
      </c>
      <c r="V52" s="166">
        <v>0.311</v>
      </c>
      <c r="W52" s="166">
        <v>0.25900000000000001</v>
      </c>
      <c r="X52" s="179">
        <v>0.28599999999999998</v>
      </c>
      <c r="Y52" s="179" t="s">
        <v>899</v>
      </c>
      <c r="Z52" s="157" t="s">
        <v>899</v>
      </c>
      <c r="AA52" s="157" t="s">
        <v>899</v>
      </c>
      <c r="AB52" s="157" t="s">
        <v>899</v>
      </c>
      <c r="AC52" s="157" t="s">
        <v>899</v>
      </c>
      <c r="AD52" s="157" t="s">
        <v>899</v>
      </c>
      <c r="AE52" s="157" t="s">
        <v>899</v>
      </c>
      <c r="AF52" s="157" t="s">
        <v>899</v>
      </c>
      <c r="AG52" s="157" t="s">
        <v>908</v>
      </c>
      <c r="AH52" s="157">
        <v>0</v>
      </c>
      <c r="AI52" s="157" t="s">
        <v>908</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79">
        <v>0.498</v>
      </c>
      <c r="O53">
        <v>0.52200000000000002</v>
      </c>
      <c r="P53">
        <v>0.52</v>
      </c>
      <c r="Q53" s="199">
        <v>0.51300000000000001</v>
      </c>
      <c r="R53" s="165">
        <v>0.501</v>
      </c>
      <c r="S53" s="165">
        <v>0.46700000000000003</v>
      </c>
      <c r="T53" s="165">
        <v>0.45400000000000001</v>
      </c>
      <c r="U53" s="198">
        <v>0.44400000000000001</v>
      </c>
      <c r="V53" s="166">
        <v>0.439</v>
      </c>
      <c r="W53" s="166">
        <v>0.438</v>
      </c>
      <c r="X53" s="179">
        <v>0.42699999999999999</v>
      </c>
      <c r="Y53" s="179" t="s">
        <v>899</v>
      </c>
      <c r="Z53" s="157" t="s">
        <v>899</v>
      </c>
      <c r="AA53" s="157" t="s">
        <v>899</v>
      </c>
      <c r="AB53" s="157" t="s">
        <v>899</v>
      </c>
      <c r="AC53" s="157" t="s">
        <v>899</v>
      </c>
      <c r="AD53" s="157" t="s">
        <v>899</v>
      </c>
      <c r="AE53" s="157" t="s">
        <v>899</v>
      </c>
      <c r="AF53" s="157" t="s">
        <v>899</v>
      </c>
      <c r="AG53" s="157" t="s">
        <v>908</v>
      </c>
      <c r="AH53" s="157">
        <v>0</v>
      </c>
      <c r="AI53" s="157" t="s">
        <v>908</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79">
        <v>0.436</v>
      </c>
      <c r="O54">
        <v>0.43</v>
      </c>
      <c r="P54">
        <v>0.42899999999999999</v>
      </c>
      <c r="Q54" s="199">
        <v>0.48499999999999999</v>
      </c>
      <c r="R54" s="165">
        <v>0.48399999999999999</v>
      </c>
      <c r="S54" s="165">
        <v>0.432</v>
      </c>
      <c r="T54" s="165">
        <v>0.44400000000000001</v>
      </c>
      <c r="U54" s="199">
        <v>0.435</v>
      </c>
      <c r="V54" s="201">
        <v>0.46300000000000002</v>
      </c>
      <c r="W54" s="201">
        <v>0.45700000000000002</v>
      </c>
      <c r="X54" s="179">
        <v>0.40899999999999997</v>
      </c>
      <c r="Y54" s="179" t="s">
        <v>899</v>
      </c>
      <c r="Z54" s="157" t="s">
        <v>899</v>
      </c>
      <c r="AA54" s="157" t="s">
        <v>899</v>
      </c>
      <c r="AB54" s="157" t="s">
        <v>899</v>
      </c>
      <c r="AC54" s="157" t="s">
        <v>899</v>
      </c>
      <c r="AD54" s="157" t="s">
        <v>899</v>
      </c>
      <c r="AE54" s="157" t="s">
        <v>899</v>
      </c>
      <c r="AF54" s="157" t="s">
        <v>899</v>
      </c>
      <c r="AG54" s="157" t="s">
        <v>908</v>
      </c>
      <c r="AH54" s="157">
        <v>0</v>
      </c>
      <c r="AI54" s="157" t="s">
        <v>908</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79">
        <v>0.46500000000000002</v>
      </c>
      <c r="O55">
        <v>0.45900000000000002</v>
      </c>
      <c r="P55">
        <v>0.44600000000000001</v>
      </c>
      <c r="Q55" s="199">
        <v>0.435</v>
      </c>
      <c r="R55" s="165">
        <v>0.43</v>
      </c>
      <c r="S55" s="165">
        <v>0.39700000000000002</v>
      </c>
      <c r="T55" s="165">
        <v>0.41</v>
      </c>
      <c r="U55" s="198">
        <v>0.41199999999999998</v>
      </c>
      <c r="V55" s="166">
        <v>0.41299999999999998</v>
      </c>
      <c r="W55" s="166">
        <v>0.41199999999999998</v>
      </c>
      <c r="X55" s="179">
        <v>0.41199999999999998</v>
      </c>
      <c r="Y55" s="179" t="s">
        <v>899</v>
      </c>
      <c r="Z55" s="157" t="s">
        <v>899</v>
      </c>
      <c r="AA55" s="157" t="s">
        <v>899</v>
      </c>
      <c r="AB55" s="157" t="s">
        <v>899</v>
      </c>
      <c r="AC55" s="157" t="s">
        <v>899</v>
      </c>
      <c r="AD55" s="157" t="s">
        <v>899</v>
      </c>
      <c r="AE55" s="157" t="s">
        <v>899</v>
      </c>
      <c r="AF55" s="157" t="s">
        <v>899</v>
      </c>
      <c r="AG55" s="157" t="s">
        <v>908</v>
      </c>
      <c r="AH55" s="157">
        <v>0</v>
      </c>
      <c r="AI55" s="157" t="s">
        <v>908</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79">
        <v>0.39800000000000002</v>
      </c>
      <c r="O56">
        <v>0.52800000000000002</v>
      </c>
      <c r="P56">
        <v>0.55500000000000005</v>
      </c>
      <c r="Q56" s="199">
        <v>0.54600000000000004</v>
      </c>
      <c r="R56" s="165">
        <v>0.52200000000000002</v>
      </c>
      <c r="S56" s="165">
        <v>0.47499999999999998</v>
      </c>
      <c r="T56" s="165">
        <v>0.48899999999999999</v>
      </c>
      <c r="U56" s="198">
        <v>0.48599999999999999</v>
      </c>
      <c r="V56" s="166">
        <v>0.49</v>
      </c>
      <c r="W56" s="166">
        <v>0.50900000000000001</v>
      </c>
      <c r="X56" s="179">
        <v>0.48</v>
      </c>
      <c r="Y56" s="179" t="s">
        <v>899</v>
      </c>
      <c r="Z56" s="157" t="s">
        <v>899</v>
      </c>
      <c r="AA56" s="157" t="s">
        <v>899</v>
      </c>
      <c r="AB56" s="157" t="s">
        <v>899</v>
      </c>
      <c r="AC56" s="157" t="s">
        <v>899</v>
      </c>
      <c r="AD56" s="157" t="s">
        <v>899</v>
      </c>
      <c r="AE56" s="157" t="s">
        <v>899</v>
      </c>
      <c r="AF56" s="157" t="s">
        <v>899</v>
      </c>
      <c r="AG56" s="157" t="s">
        <v>908</v>
      </c>
      <c r="AH56" s="157">
        <v>0</v>
      </c>
      <c r="AI56" s="157" t="s">
        <v>908</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79">
        <v>0.51600000000000001</v>
      </c>
      <c r="O57">
        <v>0.51100000000000001</v>
      </c>
      <c r="P57">
        <v>0.50700000000000001</v>
      </c>
      <c r="Q57" s="198">
        <v>0.498</v>
      </c>
      <c r="R57" s="196">
        <v>0.48499999999999999</v>
      </c>
      <c r="S57" s="196">
        <v>0.45</v>
      </c>
      <c r="T57" s="196">
        <v>0.46200000000000002</v>
      </c>
      <c r="U57" s="198">
        <v>0.44900000000000001</v>
      </c>
      <c r="V57" s="166">
        <v>0.442</v>
      </c>
      <c r="W57" s="166">
        <v>0.439</v>
      </c>
      <c r="X57" s="179">
        <v>0.46100000000000002</v>
      </c>
      <c r="Y57" s="179">
        <v>0.46300000000000002</v>
      </c>
      <c r="Z57" s="157">
        <v>0.46100000000000002</v>
      </c>
      <c r="AA57" s="157">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79">
        <v>0.46100000000000002</v>
      </c>
      <c r="O58">
        <v>0.49</v>
      </c>
      <c r="P58">
        <v>0.48699999999999999</v>
      </c>
      <c r="Q58" s="199">
        <v>0.49099999999999999</v>
      </c>
      <c r="R58" s="165">
        <v>0.48399999999999999</v>
      </c>
      <c r="S58" s="165">
        <v>0.48399999999999999</v>
      </c>
      <c r="T58" s="165">
        <v>0.48399999999999999</v>
      </c>
      <c r="U58" s="198">
        <v>0.45500000000000002</v>
      </c>
      <c r="V58" s="166">
        <v>0.44900000000000001</v>
      </c>
      <c r="W58" s="166">
        <v>0.437</v>
      </c>
      <c r="X58" s="179">
        <v>0.42799999999999999</v>
      </c>
      <c r="Y58" s="179" t="s">
        <v>899</v>
      </c>
      <c r="Z58" s="157" t="s">
        <v>899</v>
      </c>
      <c r="AA58" s="157" t="s">
        <v>899</v>
      </c>
      <c r="AB58" s="157" t="s">
        <v>899</v>
      </c>
      <c r="AC58" s="157" t="s">
        <v>899</v>
      </c>
      <c r="AD58" s="157" t="s">
        <v>899</v>
      </c>
      <c r="AE58" s="157" t="s">
        <v>899</v>
      </c>
      <c r="AF58" s="157" t="s">
        <v>899</v>
      </c>
      <c r="AG58" s="157" t="s">
        <v>908</v>
      </c>
      <c r="AH58" s="157">
        <v>0</v>
      </c>
      <c r="AI58" s="157" t="s">
        <v>908</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79">
        <v>0.39100000000000001</v>
      </c>
      <c r="O59">
        <v>0.42499999999999999</v>
      </c>
      <c r="P59">
        <v>0.46200000000000002</v>
      </c>
      <c r="Q59" s="199">
        <v>0.45900000000000002</v>
      </c>
      <c r="R59" s="165">
        <v>0.46400000000000002</v>
      </c>
      <c r="S59" s="165">
        <v>0.41599999999999998</v>
      </c>
      <c r="T59" s="165">
        <v>0.47</v>
      </c>
      <c r="U59" s="199">
        <v>0.53</v>
      </c>
      <c r="V59" s="201">
        <v>0.48299999999999998</v>
      </c>
      <c r="W59" s="201">
        <v>0.46</v>
      </c>
      <c r="X59" s="179">
        <v>0.41099999999999998</v>
      </c>
      <c r="Y59" s="179" t="s">
        <v>899</v>
      </c>
      <c r="Z59" s="157" t="s">
        <v>899</v>
      </c>
      <c r="AA59" s="157" t="s">
        <v>899</v>
      </c>
      <c r="AB59" s="157" t="s">
        <v>899</v>
      </c>
      <c r="AC59" s="157" t="s">
        <v>899</v>
      </c>
      <c r="AD59" s="157" t="s">
        <v>899</v>
      </c>
      <c r="AE59" s="157" t="s">
        <v>899</v>
      </c>
      <c r="AF59" s="157" t="s">
        <v>899</v>
      </c>
      <c r="AG59" s="157" t="s">
        <v>908</v>
      </c>
      <c r="AH59" s="157">
        <v>0</v>
      </c>
      <c r="AI59" s="157" t="s">
        <v>908</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79">
        <v>0.34699999999999998</v>
      </c>
      <c r="O60">
        <v>0.46100000000000002</v>
      </c>
      <c r="P60">
        <v>0.45200000000000001</v>
      </c>
      <c r="Q60" s="199">
        <v>0.45600000000000002</v>
      </c>
      <c r="R60" s="165">
        <v>0.45600000000000002</v>
      </c>
      <c r="S60" s="165">
        <v>0.45400000000000001</v>
      </c>
      <c r="T60" s="165">
        <v>0.47299999999999998</v>
      </c>
      <c r="U60" s="199">
        <v>0.48499999999999999</v>
      </c>
      <c r="V60" s="201">
        <v>0.50700000000000001</v>
      </c>
      <c r="W60" s="201">
        <v>0.50900000000000001</v>
      </c>
      <c r="X60" s="179">
        <v>0.50700000000000001</v>
      </c>
      <c r="Y60" s="179" t="s">
        <v>899</v>
      </c>
      <c r="Z60" s="157" t="s">
        <v>899</v>
      </c>
      <c r="AA60" s="157" t="s">
        <v>899</v>
      </c>
      <c r="AB60" s="157" t="s">
        <v>899</v>
      </c>
      <c r="AC60" s="157" t="s">
        <v>899</v>
      </c>
      <c r="AD60" s="157" t="s">
        <v>899</v>
      </c>
      <c r="AE60" s="157" t="s">
        <v>899</v>
      </c>
      <c r="AF60" s="157" t="s">
        <v>899</v>
      </c>
      <c r="AG60" s="157" t="s">
        <v>908</v>
      </c>
      <c r="AH60" s="157">
        <v>0</v>
      </c>
      <c r="AI60" s="157" t="s">
        <v>908</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79">
        <v>0.57499999999999996</v>
      </c>
      <c r="O61">
        <v>0.57299999999999995</v>
      </c>
      <c r="P61">
        <v>0.54800000000000004</v>
      </c>
      <c r="Q61" s="199">
        <v>0.53900000000000003</v>
      </c>
      <c r="R61" s="165">
        <v>0.54800000000000004</v>
      </c>
      <c r="S61" s="165">
        <v>0.55100000000000005</v>
      </c>
      <c r="T61" s="165">
        <v>0.56499999999999995</v>
      </c>
      <c r="U61" s="198">
        <v>0.55600000000000005</v>
      </c>
      <c r="V61" s="166">
        <v>0.54200000000000004</v>
      </c>
      <c r="W61" s="166">
        <v>0.55100000000000005</v>
      </c>
      <c r="X61" s="179">
        <v>0.55600000000000005</v>
      </c>
      <c r="Y61" s="179" t="s">
        <v>899</v>
      </c>
      <c r="Z61" s="157" t="s">
        <v>899</v>
      </c>
      <c r="AA61" s="157" t="s">
        <v>899</v>
      </c>
      <c r="AB61" s="157" t="s">
        <v>899</v>
      </c>
      <c r="AC61" s="157" t="s">
        <v>899</v>
      </c>
      <c r="AD61" s="157" t="s">
        <v>899</v>
      </c>
      <c r="AE61" s="157" t="s">
        <v>899</v>
      </c>
      <c r="AF61" s="157" t="s">
        <v>899</v>
      </c>
      <c r="AG61" s="157" t="s">
        <v>908</v>
      </c>
      <c r="AH61" s="157">
        <v>0</v>
      </c>
      <c r="AI61" s="157" t="s">
        <v>908</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79">
        <v>0.49</v>
      </c>
      <c r="O62">
        <v>0.52900000000000003</v>
      </c>
      <c r="P62">
        <v>0.53800000000000003</v>
      </c>
      <c r="Q62" s="199">
        <v>0.53300000000000003</v>
      </c>
      <c r="R62" s="165">
        <v>0.56799999999999995</v>
      </c>
      <c r="S62" s="165">
        <v>0.55300000000000005</v>
      </c>
      <c r="T62" s="165">
        <v>0.55200000000000005</v>
      </c>
      <c r="U62" s="198">
        <v>0.54400000000000004</v>
      </c>
      <c r="V62" s="166">
        <v>0.51800000000000002</v>
      </c>
      <c r="W62" s="166">
        <v>0.56499999999999995</v>
      </c>
      <c r="X62" s="179">
        <v>0.57499999999999996</v>
      </c>
      <c r="Y62" s="179">
        <v>0.47799999999999998</v>
      </c>
      <c r="Z62" s="157">
        <v>0.435</v>
      </c>
      <c r="AA62" s="157">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79">
        <v>0.48099999999999998</v>
      </c>
      <c r="O63">
        <v>0.496</v>
      </c>
      <c r="P63">
        <v>0.56100000000000005</v>
      </c>
      <c r="Q63" s="199">
        <v>0.57499999999999996</v>
      </c>
      <c r="R63" s="165">
        <v>0.59099999999999997</v>
      </c>
      <c r="S63" s="165">
        <v>0.57699999999999996</v>
      </c>
      <c r="T63" s="165">
        <v>0.57999999999999996</v>
      </c>
      <c r="U63" s="198">
        <v>0.58299999999999996</v>
      </c>
      <c r="V63" s="166">
        <v>0.59</v>
      </c>
      <c r="W63" s="166">
        <v>0.56399999999999995</v>
      </c>
      <c r="X63" s="179">
        <v>0.54500000000000004</v>
      </c>
      <c r="Y63" s="179">
        <v>0.5</v>
      </c>
      <c r="Z63" s="157">
        <v>0.48199999999999998</v>
      </c>
      <c r="AA63" s="157">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s="278">
        <v>446.9</v>
      </c>
      <c r="I64" s="278">
        <v>446.2</v>
      </c>
      <c r="J64" s="278">
        <v>427.4</v>
      </c>
      <c r="K64" s="278">
        <v>434.6</v>
      </c>
      <c r="L64" s="165">
        <v>463.1</v>
      </c>
      <c r="M64" s="165">
        <v>512.70000000000005</v>
      </c>
      <c r="N64" s="179">
        <v>0.39600000000000002</v>
      </c>
      <c r="O64">
        <v>0.39800000000000002</v>
      </c>
      <c r="P64">
        <v>0.40400000000000003</v>
      </c>
      <c r="Q64" s="278">
        <v>0.41499999999999998</v>
      </c>
      <c r="R64" s="278">
        <v>0.42299999999999999</v>
      </c>
      <c r="S64" s="278">
        <v>0.45500000000000002</v>
      </c>
      <c r="T64" s="278">
        <v>0.46</v>
      </c>
      <c r="U64" s="198">
        <v>0.46300000000000002</v>
      </c>
      <c r="V64" s="166">
        <v>0.441</v>
      </c>
      <c r="W64" s="166">
        <v>0.434</v>
      </c>
      <c r="X64" s="179">
        <v>0.40200000000000002</v>
      </c>
      <c r="Y64" s="179" t="s">
        <v>899</v>
      </c>
      <c r="Z64" s="278" t="s">
        <v>899</v>
      </c>
      <c r="AA64" s="278" t="s">
        <v>899</v>
      </c>
      <c r="AB64" s="278" t="s">
        <v>899</v>
      </c>
      <c r="AC64" s="278" t="s">
        <v>899</v>
      </c>
      <c r="AD64" s="157" t="s">
        <v>899</v>
      </c>
      <c r="AE64" s="157" t="s">
        <v>899</v>
      </c>
      <c r="AF64" s="157" t="s">
        <v>899</v>
      </c>
      <c r="AG64" s="157" t="s">
        <v>908</v>
      </c>
      <c r="AH64" s="157">
        <v>0</v>
      </c>
      <c r="AI64" s="278" t="s">
        <v>908</v>
      </c>
      <c r="AJ64" s="278">
        <v>413</v>
      </c>
      <c r="AK64" s="278">
        <v>399.4</v>
      </c>
      <c r="AL64" s="278">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79">
        <v>0.39200000000000002</v>
      </c>
      <c r="O65">
        <v>0.38500000000000001</v>
      </c>
      <c r="P65">
        <v>0.38500000000000001</v>
      </c>
      <c r="Q65" s="199">
        <v>0.39500000000000002</v>
      </c>
      <c r="R65" s="165">
        <v>0.38400000000000001</v>
      </c>
      <c r="S65" s="165">
        <v>0.39900000000000002</v>
      </c>
      <c r="T65" s="165">
        <v>0.41099999999999998</v>
      </c>
      <c r="U65" s="198">
        <v>0.44600000000000001</v>
      </c>
      <c r="V65" s="166">
        <v>0.46500000000000002</v>
      </c>
      <c r="W65" s="166">
        <v>0.44900000000000001</v>
      </c>
      <c r="X65" s="179">
        <v>0.44500000000000001</v>
      </c>
      <c r="Y65" s="179" t="s">
        <v>899</v>
      </c>
      <c r="Z65" s="157" t="s">
        <v>899</v>
      </c>
      <c r="AA65" s="157" t="s">
        <v>899</v>
      </c>
      <c r="AB65" s="157" t="s">
        <v>899</v>
      </c>
      <c r="AC65" s="157" t="s">
        <v>899</v>
      </c>
      <c r="AD65" s="157" t="s">
        <v>899</v>
      </c>
      <c r="AE65" s="157" t="s">
        <v>899</v>
      </c>
      <c r="AF65" s="157" t="s">
        <v>899</v>
      </c>
      <c r="AG65" s="157" t="s">
        <v>908</v>
      </c>
      <c r="AH65" s="157">
        <v>0</v>
      </c>
      <c r="AI65" s="157" t="s">
        <v>908</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s="278">
        <v>456.6</v>
      </c>
      <c r="D66" s="278">
        <v>446.3</v>
      </c>
      <c r="E66" s="278">
        <v>448.1</v>
      </c>
      <c r="F66" s="278">
        <v>382.8</v>
      </c>
      <c r="G66" s="278">
        <v>380.6</v>
      </c>
      <c r="H66" t="s">
        <v>899</v>
      </c>
      <c r="I66" t="s">
        <v>899</v>
      </c>
      <c r="J66" t="s">
        <v>899</v>
      </c>
      <c r="K66" t="s">
        <v>899</v>
      </c>
      <c r="L66" t="s">
        <v>899</v>
      </c>
      <c r="M66" t="s">
        <v>899</v>
      </c>
      <c r="N66" s="278">
        <v>0.47</v>
      </c>
      <c r="O66" s="278">
        <v>0.47199999999999998</v>
      </c>
      <c r="P66" s="278">
        <v>0.45400000000000001</v>
      </c>
      <c r="Q66" s="278">
        <v>0.53300000000000003</v>
      </c>
      <c r="R66" s="278">
        <v>0.57399999999999995</v>
      </c>
      <c r="S66" t="s">
        <v>899</v>
      </c>
      <c r="T66" t="s">
        <v>899</v>
      </c>
      <c r="U66" t="s">
        <v>899</v>
      </c>
      <c r="V66" t="s">
        <v>899</v>
      </c>
      <c r="W66" t="s">
        <v>899</v>
      </c>
      <c r="X66" t="s">
        <v>899</v>
      </c>
      <c r="Y66" s="278" t="s">
        <v>899</v>
      </c>
      <c r="Z66" s="278" t="s">
        <v>899</v>
      </c>
      <c r="AA66" s="278" t="s">
        <v>899</v>
      </c>
      <c r="AB66" s="278" t="s">
        <v>899</v>
      </c>
      <c r="AC66" s="278" t="s">
        <v>899</v>
      </c>
      <c r="AD66" t="s">
        <v>899</v>
      </c>
      <c r="AE66" t="s">
        <v>899</v>
      </c>
      <c r="AF66" t="s">
        <v>899</v>
      </c>
      <c r="AG66" t="s">
        <v>899</v>
      </c>
      <c r="AH66" t="s">
        <v>899</v>
      </c>
      <c r="AI66" t="s">
        <v>899</v>
      </c>
      <c r="AJ66" s="278">
        <v>363.5</v>
      </c>
      <c r="AK66" s="278">
        <v>355.8</v>
      </c>
      <c r="AL66" s="278">
        <v>342.1</v>
      </c>
      <c r="AM66" s="157">
        <v>341.6</v>
      </c>
      <c r="AN66" s="157">
        <v>370.7</v>
      </c>
      <c r="AO66" t="s">
        <v>899</v>
      </c>
      <c r="AP66" t="s">
        <v>899</v>
      </c>
      <c r="AQ66" t="s">
        <v>899</v>
      </c>
      <c r="AR66" t="s">
        <v>899</v>
      </c>
      <c r="AS66" t="s">
        <v>899</v>
      </c>
      <c r="AT66"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79">
        <v>0.48499999999999999</v>
      </c>
      <c r="O67">
        <v>0.48799999999999999</v>
      </c>
      <c r="P67">
        <v>0.48099999999999998</v>
      </c>
      <c r="Q67" s="199">
        <v>0.48699999999999999</v>
      </c>
      <c r="R67" s="165">
        <v>0.47699999999999998</v>
      </c>
      <c r="S67" s="165">
        <v>0.48</v>
      </c>
      <c r="T67" s="165">
        <v>0.47199999999999998</v>
      </c>
      <c r="U67" s="198">
        <v>0.42699999999999999</v>
      </c>
      <c r="V67" s="166">
        <v>0.433</v>
      </c>
      <c r="W67" s="166">
        <v>0.46600000000000003</v>
      </c>
      <c r="X67" s="179">
        <v>0.45100000000000001</v>
      </c>
      <c r="Y67" s="179" t="s">
        <v>899</v>
      </c>
      <c r="Z67" s="157" t="s">
        <v>899</v>
      </c>
      <c r="AA67" s="157" t="s">
        <v>899</v>
      </c>
      <c r="AB67" s="157" t="s">
        <v>899</v>
      </c>
      <c r="AC67" s="157" t="s">
        <v>899</v>
      </c>
      <c r="AD67" s="157" t="s">
        <v>899</v>
      </c>
      <c r="AE67" s="157" t="s">
        <v>899</v>
      </c>
      <c r="AF67" s="157" t="s">
        <v>899</v>
      </c>
      <c r="AG67" s="157" t="s">
        <v>908</v>
      </c>
      <c r="AH67" s="157">
        <v>0</v>
      </c>
      <c r="AI67" s="157" t="s">
        <v>908</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79">
        <v>0.39</v>
      </c>
      <c r="O68">
        <v>0.36899999999999999</v>
      </c>
      <c r="P68">
        <v>0.36399999999999999</v>
      </c>
      <c r="Q68" s="199">
        <v>0.38800000000000001</v>
      </c>
      <c r="R68" s="165">
        <v>0.34399999999999997</v>
      </c>
      <c r="S68" s="165">
        <v>0.308</v>
      </c>
      <c r="T68" s="165">
        <v>0.28499999999999998</v>
      </c>
      <c r="U68" s="199">
        <v>0.29199999999999998</v>
      </c>
      <c r="V68" s="201">
        <v>0.29899999999999999</v>
      </c>
      <c r="W68" s="201">
        <v>0.28899999999999998</v>
      </c>
      <c r="X68" s="179">
        <v>0.30299999999999999</v>
      </c>
      <c r="Y68" s="179">
        <v>0.75</v>
      </c>
      <c r="Z68" s="157">
        <v>0.214</v>
      </c>
      <c r="AA68" s="157">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79">
        <v>0.40200000000000002</v>
      </c>
      <c r="O69">
        <v>0.39900000000000002</v>
      </c>
      <c r="P69">
        <v>0.40300000000000002</v>
      </c>
      <c r="Q69" s="199">
        <v>0.41199999999999998</v>
      </c>
      <c r="R69" s="165">
        <v>0.42499999999999999</v>
      </c>
      <c r="S69" s="165">
        <v>0.47599999999999998</v>
      </c>
      <c r="T69" s="165">
        <v>0.45800000000000002</v>
      </c>
      <c r="U69" s="198">
        <v>0.54800000000000004</v>
      </c>
      <c r="V69" s="166">
        <v>0.58599999999999997</v>
      </c>
      <c r="W69" s="166">
        <v>0.58699999999999997</v>
      </c>
      <c r="X69" s="179">
        <v>0.56899999999999995</v>
      </c>
      <c r="Y69" s="179" t="s">
        <v>899</v>
      </c>
      <c r="Z69" s="157" t="s">
        <v>899</v>
      </c>
      <c r="AA69" s="157" t="s">
        <v>899</v>
      </c>
      <c r="AB69" s="157" t="s">
        <v>899</v>
      </c>
      <c r="AC69" s="157" t="s">
        <v>899</v>
      </c>
      <c r="AD69" s="157" t="s">
        <v>899</v>
      </c>
      <c r="AE69" s="157" t="s">
        <v>899</v>
      </c>
      <c r="AF69" s="157" t="s">
        <v>899</v>
      </c>
      <c r="AG69" s="157" t="s">
        <v>908</v>
      </c>
      <c r="AH69" s="157">
        <v>0</v>
      </c>
      <c r="AI69" s="157" t="s">
        <v>908</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79">
        <v>0.42899999999999999</v>
      </c>
      <c r="O70">
        <v>0.42099999999999999</v>
      </c>
      <c r="P70">
        <v>0.40799999999999997</v>
      </c>
      <c r="Q70" s="199">
        <v>0.33500000000000002</v>
      </c>
      <c r="R70" s="165">
        <v>0.34200000000000003</v>
      </c>
      <c r="S70" s="165">
        <v>0.32300000000000001</v>
      </c>
      <c r="T70" s="165">
        <v>0.32500000000000001</v>
      </c>
      <c r="U70" s="198">
        <v>0.32800000000000001</v>
      </c>
      <c r="V70" s="166">
        <v>0.36699999999999999</v>
      </c>
      <c r="W70" s="166">
        <v>0.36099999999999999</v>
      </c>
      <c r="X70" s="179">
        <v>0.34200000000000003</v>
      </c>
      <c r="Y70" s="179" t="s">
        <v>899</v>
      </c>
      <c r="Z70" s="157" t="s">
        <v>899</v>
      </c>
      <c r="AA70" s="157" t="s">
        <v>899</v>
      </c>
      <c r="AB70" s="157" t="s">
        <v>899</v>
      </c>
      <c r="AC70" s="157" t="s">
        <v>899</v>
      </c>
      <c r="AD70" s="157" t="s">
        <v>899</v>
      </c>
      <c r="AE70" s="157" t="s">
        <v>899</v>
      </c>
      <c r="AF70" s="157" t="s">
        <v>899</v>
      </c>
      <c r="AG70" s="157" t="s">
        <v>908</v>
      </c>
      <c r="AH70" s="157">
        <v>0</v>
      </c>
      <c r="AI70" s="157" t="s">
        <v>908</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t="s">
        <v>899</v>
      </c>
      <c r="M71" t="s">
        <v>899</v>
      </c>
      <c r="N71" s="179">
        <v>0.41699999999999998</v>
      </c>
      <c r="O71">
        <v>0.40899999999999997</v>
      </c>
      <c r="P71">
        <v>0.44800000000000001</v>
      </c>
      <c r="Q71" s="199">
        <v>0.45400000000000001</v>
      </c>
      <c r="R71" s="165">
        <v>0.42599999999999999</v>
      </c>
      <c r="S71" s="165">
        <v>0.42699999999999999</v>
      </c>
      <c r="T71" s="165">
        <v>0.42599999999999999</v>
      </c>
      <c r="U71" s="198">
        <v>0.44600000000000001</v>
      </c>
      <c r="V71" s="166">
        <v>0.44</v>
      </c>
      <c r="W71" t="s">
        <v>899</v>
      </c>
      <c r="X71" t="s">
        <v>899</v>
      </c>
      <c r="Y71" s="179" t="s">
        <v>899</v>
      </c>
      <c r="Z71" s="157" t="s">
        <v>899</v>
      </c>
      <c r="AA71" s="157" t="s">
        <v>899</v>
      </c>
      <c r="AB71" s="157" t="s">
        <v>899</v>
      </c>
      <c r="AC71" s="157" t="s">
        <v>899</v>
      </c>
      <c r="AD71" s="157" t="s">
        <v>899</v>
      </c>
      <c r="AE71" s="157" t="s">
        <v>899</v>
      </c>
      <c r="AF71" s="157" t="s">
        <v>899</v>
      </c>
      <c r="AG71" s="157" t="s">
        <v>908</v>
      </c>
      <c r="AH71" t="s">
        <v>899</v>
      </c>
      <c r="AI71" t="s">
        <v>899</v>
      </c>
      <c r="AJ71" s="157">
        <v>434.2</v>
      </c>
      <c r="AK71" s="157">
        <v>414</v>
      </c>
      <c r="AL71" s="157">
        <v>384.7</v>
      </c>
      <c r="AM71" s="157">
        <v>396.2</v>
      </c>
      <c r="AN71" s="157">
        <v>397.3</v>
      </c>
      <c r="AO71" s="157">
        <v>380.4</v>
      </c>
      <c r="AP71" s="157">
        <v>390.3</v>
      </c>
      <c r="AQ71" s="157">
        <v>377.8</v>
      </c>
      <c r="AR71" s="157">
        <v>375.3</v>
      </c>
      <c r="AS71" t="s">
        <v>899</v>
      </c>
      <c r="AT71"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79">
        <v>0.36199999999999999</v>
      </c>
      <c r="O72">
        <v>0.33800000000000002</v>
      </c>
      <c r="P72">
        <v>0.33900000000000002</v>
      </c>
      <c r="Q72" s="199">
        <v>0.35099999999999998</v>
      </c>
      <c r="R72" s="165">
        <v>0.34300000000000003</v>
      </c>
      <c r="S72" s="165">
        <v>0.33600000000000002</v>
      </c>
      <c r="T72" s="165">
        <v>0.34599999999999997</v>
      </c>
      <c r="U72" s="198">
        <v>0.35399999999999998</v>
      </c>
      <c r="V72" s="166">
        <v>0.38100000000000001</v>
      </c>
      <c r="W72" s="166">
        <v>0.33300000000000002</v>
      </c>
      <c r="X72" s="179">
        <v>0.33300000000000002</v>
      </c>
      <c r="Y72" s="179">
        <v>0.621</v>
      </c>
      <c r="Z72" s="157">
        <v>0.64200000000000002</v>
      </c>
      <c r="AA72" s="157">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79">
        <v>0.60399999999999998</v>
      </c>
      <c r="O73">
        <v>0.58599999999999997</v>
      </c>
      <c r="P73">
        <v>0.58599999999999997</v>
      </c>
      <c r="Q73" s="199">
        <v>0.57999999999999996</v>
      </c>
      <c r="R73" s="165">
        <v>0.57999999999999996</v>
      </c>
      <c r="S73" s="165">
        <v>0.58199999999999996</v>
      </c>
      <c r="T73" s="165">
        <v>0.59599999999999997</v>
      </c>
      <c r="U73" s="198">
        <v>0.58699999999999997</v>
      </c>
      <c r="V73" s="166">
        <v>0.58899999999999997</v>
      </c>
      <c r="W73" s="166">
        <v>0.59299999999999997</v>
      </c>
      <c r="X73" s="179">
        <v>0.58899999999999997</v>
      </c>
      <c r="Y73" s="179" t="s">
        <v>899</v>
      </c>
      <c r="Z73" s="157" t="s">
        <v>899</v>
      </c>
      <c r="AA73" s="157" t="s">
        <v>899</v>
      </c>
      <c r="AB73" s="157" t="s">
        <v>899</v>
      </c>
      <c r="AC73" s="157" t="s">
        <v>899</v>
      </c>
      <c r="AD73" s="157" t="s">
        <v>899</v>
      </c>
      <c r="AE73" s="157" t="s">
        <v>899</v>
      </c>
      <c r="AF73" s="157" t="s">
        <v>899</v>
      </c>
      <c r="AG73" s="157" t="s">
        <v>908</v>
      </c>
      <c r="AH73" s="157">
        <v>0</v>
      </c>
      <c r="AI73" s="157" t="s">
        <v>908</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79">
        <v>0.39300000000000002</v>
      </c>
      <c r="O74">
        <v>0.443</v>
      </c>
      <c r="P74">
        <v>0.436</v>
      </c>
      <c r="Q74" s="199">
        <v>0.42799999999999999</v>
      </c>
      <c r="R74" s="165">
        <v>0.42599999999999999</v>
      </c>
      <c r="S74" s="165">
        <v>0.39100000000000001</v>
      </c>
      <c r="T74" s="165">
        <v>0.39500000000000002</v>
      </c>
      <c r="U74" s="198">
        <v>0.4</v>
      </c>
      <c r="V74" s="166">
        <v>0.42299999999999999</v>
      </c>
      <c r="W74" s="166">
        <v>0.41199999999999998</v>
      </c>
      <c r="X74" s="179">
        <v>0.373</v>
      </c>
      <c r="Y74" s="179">
        <v>0.53700000000000003</v>
      </c>
      <c r="Z74" s="157">
        <v>0.32900000000000001</v>
      </c>
      <c r="AA74" s="157">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79">
        <v>0.373</v>
      </c>
      <c r="O75">
        <v>0.372</v>
      </c>
      <c r="P75">
        <v>0.36299999999999999</v>
      </c>
      <c r="Q75" s="199">
        <v>0.35799999999999998</v>
      </c>
      <c r="R75" s="165">
        <v>0.34100000000000003</v>
      </c>
      <c r="S75" s="165">
        <v>0.30299999999999999</v>
      </c>
      <c r="T75" s="165">
        <v>0.29899999999999999</v>
      </c>
      <c r="U75" s="198">
        <v>0.32900000000000001</v>
      </c>
      <c r="V75" s="166">
        <v>0.34100000000000003</v>
      </c>
      <c r="W75" s="166">
        <v>0.33400000000000002</v>
      </c>
      <c r="X75" s="179">
        <v>0.34</v>
      </c>
      <c r="Y75" s="179">
        <v>0.09</v>
      </c>
      <c r="Z75" s="157">
        <v>8.2000000000000003E-2</v>
      </c>
      <c r="AA75" s="157">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79">
        <v>0.42899999999999999</v>
      </c>
      <c r="O76">
        <v>0.433</v>
      </c>
      <c r="P76">
        <v>0.434</v>
      </c>
      <c r="Q76" s="199">
        <v>0.42599999999999999</v>
      </c>
      <c r="R76" s="165">
        <v>0.42099999999999999</v>
      </c>
      <c r="S76" s="165">
        <v>0.41399999999999998</v>
      </c>
      <c r="T76" s="165">
        <v>0.42599999999999999</v>
      </c>
      <c r="U76" s="199">
        <v>0.42499999999999999</v>
      </c>
      <c r="V76" s="201">
        <v>0.377</v>
      </c>
      <c r="W76" s="201">
        <v>0.39200000000000002</v>
      </c>
      <c r="X76" s="179">
        <v>0.39900000000000002</v>
      </c>
      <c r="Y76" s="179" t="s">
        <v>899</v>
      </c>
      <c r="Z76" s="157" t="s">
        <v>899</v>
      </c>
      <c r="AA76" s="157" t="s">
        <v>899</v>
      </c>
      <c r="AB76" s="157" t="s">
        <v>899</v>
      </c>
      <c r="AC76" s="157" t="s">
        <v>899</v>
      </c>
      <c r="AD76" s="157" t="s">
        <v>899</v>
      </c>
      <c r="AE76" s="157" t="s">
        <v>899</v>
      </c>
      <c r="AF76" s="157" t="s">
        <v>899</v>
      </c>
      <c r="AG76" s="157" t="s">
        <v>908</v>
      </c>
      <c r="AH76" s="157">
        <v>0</v>
      </c>
      <c r="AI76" s="157" t="s">
        <v>908</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79">
        <v>0.28699999999999998</v>
      </c>
      <c r="O77">
        <v>0.27100000000000002</v>
      </c>
      <c r="P77">
        <v>0.26100000000000001</v>
      </c>
      <c r="Q77" s="199">
        <v>0.249</v>
      </c>
      <c r="R77" s="165">
        <v>0.26600000000000001</v>
      </c>
      <c r="S77" s="165">
        <v>0.27600000000000002</v>
      </c>
      <c r="T77" s="165">
        <v>0.27400000000000002</v>
      </c>
      <c r="U77" s="199">
        <v>0.28399999999999997</v>
      </c>
      <c r="V77" s="201">
        <v>0.30399999999999999</v>
      </c>
      <c r="W77" s="201">
        <v>0.30299999999999999</v>
      </c>
      <c r="X77" s="179">
        <v>0.31900000000000001</v>
      </c>
      <c r="Y77" s="179" t="s">
        <v>899</v>
      </c>
      <c r="Z77" s="157" t="s">
        <v>899</v>
      </c>
      <c r="AA77" s="157" t="s">
        <v>899</v>
      </c>
      <c r="AB77" s="157" t="s">
        <v>899</v>
      </c>
      <c r="AC77" s="157" t="s">
        <v>899</v>
      </c>
      <c r="AD77" s="157" t="s">
        <v>899</v>
      </c>
      <c r="AE77" s="157" t="s">
        <v>899</v>
      </c>
      <c r="AF77" s="157" t="s">
        <v>899</v>
      </c>
      <c r="AG77" s="157" t="s">
        <v>908</v>
      </c>
      <c r="AH77" s="157">
        <v>0</v>
      </c>
      <c r="AI77" s="157" t="s">
        <v>908</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79">
        <v>0.33500000000000002</v>
      </c>
      <c r="O78">
        <v>0.38100000000000001</v>
      </c>
      <c r="P78">
        <v>0.443</v>
      </c>
      <c r="Q78" s="199">
        <v>0.42199999999999999</v>
      </c>
      <c r="R78" s="165">
        <v>0.39900000000000002</v>
      </c>
      <c r="S78" s="165">
        <v>0.378</v>
      </c>
      <c r="T78" s="165">
        <v>0.38600000000000001</v>
      </c>
      <c r="U78" s="198">
        <v>0.379</v>
      </c>
      <c r="V78" s="166">
        <v>0.47299999999999998</v>
      </c>
      <c r="W78" s="166">
        <v>0.49199999999999999</v>
      </c>
      <c r="X78" s="179">
        <v>0.41299999999999998</v>
      </c>
      <c r="Y78" s="179">
        <v>0.64900000000000002</v>
      </c>
      <c r="Z78" s="157">
        <v>0.58199999999999996</v>
      </c>
      <c r="AA78" s="157">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79">
        <v>0.45500000000000002</v>
      </c>
      <c r="O79">
        <v>0.46</v>
      </c>
      <c r="P79">
        <v>0.45900000000000002</v>
      </c>
      <c r="Q79" s="198">
        <v>0.49</v>
      </c>
      <c r="R79" s="196">
        <v>0.49399999999999999</v>
      </c>
      <c r="S79" s="196">
        <v>0.43</v>
      </c>
      <c r="T79" s="196">
        <v>0.44500000000000001</v>
      </c>
      <c r="U79" s="198">
        <v>0.443</v>
      </c>
      <c r="V79" s="166">
        <v>0.46700000000000003</v>
      </c>
      <c r="W79" s="166">
        <v>0.47399999999999998</v>
      </c>
      <c r="X79" s="179">
        <v>0.47899999999999998</v>
      </c>
      <c r="Y79" s="179">
        <v>0.53800000000000003</v>
      </c>
      <c r="Z79" s="157">
        <v>0.46300000000000002</v>
      </c>
      <c r="AA79" s="157">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79">
        <v>0.47699999999999998</v>
      </c>
      <c r="O80">
        <v>0.46700000000000003</v>
      </c>
      <c r="P80">
        <v>0.46800000000000003</v>
      </c>
      <c r="Q80" s="199">
        <v>0.46200000000000002</v>
      </c>
      <c r="R80" s="165">
        <v>0.46300000000000002</v>
      </c>
      <c r="S80" s="165">
        <v>0.49099999999999999</v>
      </c>
      <c r="T80" s="165">
        <v>0.51100000000000001</v>
      </c>
      <c r="U80" s="198">
        <v>0.52500000000000002</v>
      </c>
      <c r="V80" s="166">
        <v>0.52300000000000002</v>
      </c>
      <c r="W80" s="166">
        <v>0.52800000000000002</v>
      </c>
      <c r="X80" s="179">
        <v>0.54500000000000004</v>
      </c>
      <c r="Y80" s="179" t="s">
        <v>899</v>
      </c>
      <c r="Z80" s="157" t="s">
        <v>899</v>
      </c>
      <c r="AA80" s="157" t="s">
        <v>899</v>
      </c>
      <c r="AB80" s="157" t="s">
        <v>899</v>
      </c>
      <c r="AC80" s="157" t="s">
        <v>899</v>
      </c>
      <c r="AD80" s="157" t="s">
        <v>899</v>
      </c>
      <c r="AE80" s="157" t="s">
        <v>899</v>
      </c>
      <c r="AF80" s="157" t="s">
        <v>899</v>
      </c>
      <c r="AG80" s="157" t="s">
        <v>908</v>
      </c>
      <c r="AH80" s="157">
        <v>0</v>
      </c>
      <c r="AI80" s="157" t="s">
        <v>908</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79">
        <v>0.41899999999999998</v>
      </c>
      <c r="O81">
        <v>0.44700000000000001</v>
      </c>
      <c r="P81">
        <v>0.378</v>
      </c>
      <c r="Q81" s="199">
        <v>0.33200000000000002</v>
      </c>
      <c r="R81" s="165">
        <v>0.36499999999999999</v>
      </c>
      <c r="S81" s="165">
        <v>0.37</v>
      </c>
      <c r="T81" s="165">
        <v>0.374</v>
      </c>
      <c r="U81" s="198">
        <v>0.40600000000000003</v>
      </c>
      <c r="V81" s="166">
        <v>0.39800000000000002</v>
      </c>
      <c r="W81" s="166">
        <v>0.40799999999999997</v>
      </c>
      <c r="X81" s="179">
        <v>0.35099999999999998</v>
      </c>
      <c r="Y81" s="179">
        <v>0.35499999999999998</v>
      </c>
      <c r="Z81" s="157">
        <v>0.38400000000000001</v>
      </c>
      <c r="AA81" s="157">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79">
        <v>0.24099999999999999</v>
      </c>
      <c r="O82">
        <v>0.26700000000000002</v>
      </c>
      <c r="P82">
        <v>0.27</v>
      </c>
      <c r="Q82" s="199">
        <v>0.26600000000000001</v>
      </c>
      <c r="R82" s="165">
        <v>0.27600000000000002</v>
      </c>
      <c r="S82" s="165">
        <v>0.25600000000000001</v>
      </c>
      <c r="T82" s="165">
        <v>0.252</v>
      </c>
      <c r="U82" s="198">
        <v>0.252</v>
      </c>
      <c r="V82" s="166">
        <v>0.25900000000000001</v>
      </c>
      <c r="W82" s="166">
        <v>0.24299999999999999</v>
      </c>
      <c r="X82" s="179">
        <v>0.245</v>
      </c>
      <c r="Y82" s="179" t="s">
        <v>899</v>
      </c>
      <c r="Z82" s="157" t="s">
        <v>899</v>
      </c>
      <c r="AA82" s="157" t="s">
        <v>899</v>
      </c>
      <c r="AB82" s="157" t="s">
        <v>899</v>
      </c>
      <c r="AC82" s="157" t="s">
        <v>899</v>
      </c>
      <c r="AD82" s="157" t="s">
        <v>899</v>
      </c>
      <c r="AE82" s="157" t="s">
        <v>899</v>
      </c>
      <c r="AF82" s="157" t="s">
        <v>899</v>
      </c>
      <c r="AG82" s="157" t="s">
        <v>908</v>
      </c>
      <c r="AH82" s="157">
        <v>0</v>
      </c>
      <c r="AI82" s="157" t="s">
        <v>908</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79">
        <v>0.48199999999999998</v>
      </c>
      <c r="O83">
        <v>0.443</v>
      </c>
      <c r="P83">
        <v>0.497</v>
      </c>
      <c r="Q83" s="199">
        <v>0.49399999999999999</v>
      </c>
      <c r="R83" s="165">
        <v>0.51100000000000001</v>
      </c>
      <c r="S83" s="165">
        <v>0.5</v>
      </c>
      <c r="T83" s="165">
        <v>0.51800000000000002</v>
      </c>
      <c r="U83" s="198">
        <v>0.51700000000000002</v>
      </c>
      <c r="V83" s="166">
        <v>0.50700000000000001</v>
      </c>
      <c r="W83" s="166">
        <v>0.53400000000000003</v>
      </c>
      <c r="X83" s="179">
        <v>0.52700000000000002</v>
      </c>
      <c r="Y83" s="179" t="s">
        <v>899</v>
      </c>
      <c r="Z83" s="157" t="s">
        <v>899</v>
      </c>
      <c r="AA83" s="157" t="s">
        <v>899</v>
      </c>
      <c r="AB83" s="157" t="s">
        <v>899</v>
      </c>
      <c r="AC83" s="157" t="s">
        <v>899</v>
      </c>
      <c r="AD83" s="157" t="s">
        <v>899</v>
      </c>
      <c r="AE83" s="157" t="s">
        <v>899</v>
      </c>
      <c r="AF83" s="157" t="s">
        <v>899</v>
      </c>
      <c r="AG83" s="157" t="s">
        <v>908</v>
      </c>
      <c r="AH83" s="157">
        <v>0</v>
      </c>
      <c r="AI83" s="157" t="s">
        <v>908</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79">
        <v>0.47499999999999998</v>
      </c>
      <c r="O84">
        <v>0.46400000000000002</v>
      </c>
      <c r="P84">
        <v>0.45400000000000001</v>
      </c>
      <c r="Q84" s="199">
        <v>0.42699999999999999</v>
      </c>
      <c r="R84" s="165">
        <v>0.32900000000000001</v>
      </c>
      <c r="S84" s="165">
        <v>0.32300000000000001</v>
      </c>
      <c r="T84" s="165">
        <v>0.35299999999999998</v>
      </c>
      <c r="U84" s="198">
        <v>0.36299999999999999</v>
      </c>
      <c r="V84" s="166">
        <v>0.38800000000000001</v>
      </c>
      <c r="W84" s="166">
        <v>0.42099999999999999</v>
      </c>
      <c r="X84" s="179">
        <v>0.36699999999999999</v>
      </c>
      <c r="Y84" s="179">
        <v>0.52</v>
      </c>
      <c r="Z84" s="157">
        <v>0.498</v>
      </c>
      <c r="AA84" s="157">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79">
        <v>0.42099999999999999</v>
      </c>
      <c r="O85">
        <v>0.433</v>
      </c>
      <c r="P85">
        <v>0.45500000000000002</v>
      </c>
      <c r="Q85" s="199">
        <v>0.47</v>
      </c>
      <c r="R85" s="165">
        <v>0.47099999999999997</v>
      </c>
      <c r="S85" s="165">
        <v>0.47599999999999998</v>
      </c>
      <c r="T85" s="165">
        <v>0.48299999999999998</v>
      </c>
      <c r="U85" s="198">
        <v>0.48199999999999998</v>
      </c>
      <c r="V85" s="166">
        <v>0.48</v>
      </c>
      <c r="W85" s="166">
        <v>0.47499999999999998</v>
      </c>
      <c r="X85" s="179">
        <v>0.45100000000000001</v>
      </c>
      <c r="Y85" s="179">
        <v>0.55500000000000005</v>
      </c>
      <c r="Z85" s="157">
        <v>0.49399999999999999</v>
      </c>
      <c r="AA85" s="157">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79">
        <v>0.41199999999999998</v>
      </c>
      <c r="O86">
        <v>0.41799999999999998</v>
      </c>
      <c r="P86">
        <v>0.47799999999999998</v>
      </c>
      <c r="Q86" s="199">
        <v>0.55700000000000005</v>
      </c>
      <c r="R86" s="165">
        <v>0.55200000000000005</v>
      </c>
      <c r="S86" s="165">
        <v>0.56100000000000005</v>
      </c>
      <c r="T86" s="165">
        <v>0.59799999999999998</v>
      </c>
      <c r="U86" s="199">
        <v>0.60299999999999998</v>
      </c>
      <c r="V86" s="201">
        <v>0.59599999999999997</v>
      </c>
      <c r="W86" s="201">
        <v>0.61899999999999999</v>
      </c>
      <c r="X86" s="179">
        <v>0.55600000000000005</v>
      </c>
      <c r="Y86" s="179" t="s">
        <v>899</v>
      </c>
      <c r="Z86" s="157" t="s">
        <v>899</v>
      </c>
      <c r="AA86" s="157" t="s">
        <v>899</v>
      </c>
      <c r="AB86" s="157" t="s">
        <v>899</v>
      </c>
      <c r="AC86" s="157" t="s">
        <v>899</v>
      </c>
      <c r="AD86" s="157" t="s">
        <v>899</v>
      </c>
      <c r="AE86" s="157" t="s">
        <v>899</v>
      </c>
      <c r="AF86" s="157" t="s">
        <v>899</v>
      </c>
      <c r="AG86" s="157" t="s">
        <v>908</v>
      </c>
      <c r="AH86" s="157">
        <v>0</v>
      </c>
      <c r="AI86" s="157" t="s">
        <v>908</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79">
        <v>0.54800000000000004</v>
      </c>
      <c r="O87">
        <v>0.55200000000000005</v>
      </c>
      <c r="P87">
        <v>0.54800000000000004</v>
      </c>
      <c r="Q87" s="199">
        <v>0.54800000000000004</v>
      </c>
      <c r="R87" s="165">
        <v>0.55400000000000005</v>
      </c>
      <c r="S87" s="165">
        <v>0.55100000000000005</v>
      </c>
      <c r="T87" s="165">
        <v>0.55700000000000005</v>
      </c>
      <c r="U87" s="198">
        <v>0.54</v>
      </c>
      <c r="V87" s="166">
        <v>0.56000000000000005</v>
      </c>
      <c r="W87" s="166">
        <v>0.56599999999999995</v>
      </c>
      <c r="X87" s="179">
        <v>0.55300000000000005</v>
      </c>
      <c r="Y87" s="179">
        <v>0.44</v>
      </c>
      <c r="Z87" s="157">
        <v>0.46</v>
      </c>
      <c r="AA87" s="157">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79">
        <v>0.41699999999999998</v>
      </c>
      <c r="O88">
        <v>0.44400000000000001</v>
      </c>
      <c r="P88">
        <v>0.41199999999999998</v>
      </c>
      <c r="Q88" s="199">
        <v>0.40200000000000002</v>
      </c>
      <c r="R88" s="165">
        <v>0.40600000000000003</v>
      </c>
      <c r="S88" s="165">
        <v>0.45500000000000002</v>
      </c>
      <c r="T88" s="165">
        <v>0.47</v>
      </c>
      <c r="U88" s="198">
        <v>0.45800000000000002</v>
      </c>
      <c r="V88" s="166">
        <v>0.46400000000000002</v>
      </c>
      <c r="W88" s="166">
        <v>0.46400000000000002</v>
      </c>
      <c r="X88" s="179">
        <v>0.434</v>
      </c>
      <c r="Y88" s="179">
        <v>0.53600000000000003</v>
      </c>
      <c r="Z88" s="157">
        <v>0.49399999999999999</v>
      </c>
      <c r="AA88" s="157">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t="s">
        <v>899</v>
      </c>
      <c r="L89" s="165">
        <v>397.8</v>
      </c>
      <c r="M89" s="165">
        <v>392</v>
      </c>
      <c r="N89" t="s">
        <v>899</v>
      </c>
      <c r="O89" t="s">
        <v>899</v>
      </c>
      <c r="P89" t="s">
        <v>899</v>
      </c>
      <c r="Q89" t="s">
        <v>899</v>
      </c>
      <c r="R89" t="s">
        <v>899</v>
      </c>
      <c r="S89" t="s">
        <v>899</v>
      </c>
      <c r="T89" t="s">
        <v>899</v>
      </c>
      <c r="U89" t="s">
        <v>899</v>
      </c>
      <c r="V89" t="s">
        <v>899</v>
      </c>
      <c r="W89" s="166">
        <v>0.58899999999999997</v>
      </c>
      <c r="X89" s="179">
        <v>0.60099999999999998</v>
      </c>
      <c r="Y89" t="s">
        <v>899</v>
      </c>
      <c r="Z89" t="s">
        <v>899</v>
      </c>
      <c r="AA89" t="s">
        <v>899</v>
      </c>
      <c r="AB89" t="s">
        <v>899</v>
      </c>
      <c r="AC89" t="s">
        <v>899</v>
      </c>
      <c r="AD89" t="s">
        <v>899</v>
      </c>
      <c r="AE89" t="s">
        <v>899</v>
      </c>
      <c r="AF89" t="s">
        <v>899</v>
      </c>
      <c r="AG89" t="s">
        <v>899</v>
      </c>
      <c r="AH89" s="157">
        <v>0.12</v>
      </c>
      <c r="AI89" s="157">
        <v>3.2000000000000001E-2</v>
      </c>
      <c r="AJ89" t="s">
        <v>899</v>
      </c>
      <c r="AK89" t="s">
        <v>899</v>
      </c>
      <c r="AL89" t="s">
        <v>899</v>
      </c>
      <c r="AM89" t="s">
        <v>899</v>
      </c>
      <c r="AN89" t="s">
        <v>899</v>
      </c>
      <c r="AO89" t="s">
        <v>899</v>
      </c>
      <c r="AP89" t="s">
        <v>899</v>
      </c>
      <c r="AQ89" t="s">
        <v>899</v>
      </c>
      <c r="AR89" t="s">
        <v>899</v>
      </c>
      <c r="AS89" s="157">
        <v>454.1</v>
      </c>
      <c r="AT89" s="157">
        <v>467.9</v>
      </c>
    </row>
    <row r="90" spans="1:46" ht="14.7" customHeight="1">
      <c r="A90" s="183" t="s">
        <v>51</v>
      </c>
      <c r="B90" s="183"/>
      <c r="C90" s="278">
        <v>532.20000000000005</v>
      </c>
      <c r="D90" s="278">
        <v>411.1</v>
      </c>
      <c r="E90" s="278">
        <v>339.1</v>
      </c>
      <c r="F90" s="278">
        <v>364.6</v>
      </c>
      <c r="G90" s="278">
        <v>373.7</v>
      </c>
      <c r="H90" s="278">
        <v>394.4</v>
      </c>
      <c r="I90" s="278">
        <v>374.8</v>
      </c>
      <c r="J90" s="278">
        <v>343.6</v>
      </c>
      <c r="K90" s="278">
        <v>354.4</v>
      </c>
      <c r="L90" s="278">
        <v>356.5</v>
      </c>
      <c r="M90" s="278">
        <v>416.3</v>
      </c>
      <c r="N90" s="278">
        <v>0.31900000000000001</v>
      </c>
      <c r="O90" s="278">
        <v>0.41499999999999998</v>
      </c>
      <c r="P90" s="278">
        <v>0.45400000000000001</v>
      </c>
      <c r="Q90" s="278">
        <v>0.442</v>
      </c>
      <c r="R90" s="278">
        <v>0.42399999999999999</v>
      </c>
      <c r="S90" s="278">
        <v>0.41699999999999998</v>
      </c>
      <c r="T90" s="278">
        <v>0.44700000000000001</v>
      </c>
      <c r="U90" s="278">
        <v>0.47299999999999998</v>
      </c>
      <c r="V90" s="278">
        <v>0.47</v>
      </c>
      <c r="W90" s="278">
        <v>0.47099999999999997</v>
      </c>
      <c r="X90" s="278">
        <v>0.47799999999999998</v>
      </c>
      <c r="Y90" s="278" t="s">
        <v>899</v>
      </c>
      <c r="Z90" s="278" t="s">
        <v>899</v>
      </c>
      <c r="AA90" s="278" t="s">
        <v>899</v>
      </c>
      <c r="AB90" s="278" t="s">
        <v>899</v>
      </c>
      <c r="AC90" s="278" t="s">
        <v>899</v>
      </c>
      <c r="AD90" s="278" t="s">
        <v>899</v>
      </c>
      <c r="AE90" s="278" t="s">
        <v>899</v>
      </c>
      <c r="AF90" s="278" t="s">
        <v>899</v>
      </c>
      <c r="AG90" s="278" t="s">
        <v>908</v>
      </c>
      <c r="AH90" s="278">
        <v>0</v>
      </c>
      <c r="AI90" s="278" t="s">
        <v>908</v>
      </c>
      <c r="AJ90" s="278">
        <v>367.5</v>
      </c>
      <c r="AK90" s="278">
        <v>331.2</v>
      </c>
      <c r="AL90" s="278">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79">
        <v>0.34300000000000003</v>
      </c>
      <c r="O91">
        <v>0.35099999999999998</v>
      </c>
      <c r="P91">
        <v>0.34799999999999998</v>
      </c>
      <c r="Q91" s="199">
        <v>0.35699999999999998</v>
      </c>
      <c r="R91" s="165">
        <v>0.42199999999999999</v>
      </c>
      <c r="S91" s="165">
        <v>0.38500000000000001</v>
      </c>
      <c r="T91" s="165">
        <v>0.373</v>
      </c>
      <c r="U91" s="198">
        <v>0.35499999999999998</v>
      </c>
      <c r="V91" s="166">
        <v>0.35299999999999998</v>
      </c>
      <c r="W91" s="166">
        <v>0.378</v>
      </c>
      <c r="X91" s="179">
        <v>0.36899999999999999</v>
      </c>
      <c r="Y91" s="179">
        <v>0.107</v>
      </c>
      <c r="Z91" s="157">
        <v>9.0999999999999998E-2</v>
      </c>
      <c r="AA91" s="157">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79">
        <v>0.40400000000000003</v>
      </c>
      <c r="O92">
        <v>0.40799999999999997</v>
      </c>
      <c r="P92">
        <v>0.40600000000000003</v>
      </c>
      <c r="Q92" s="199">
        <v>0.40200000000000002</v>
      </c>
      <c r="R92" s="165">
        <v>0.40100000000000002</v>
      </c>
      <c r="S92" s="165">
        <v>0.43</v>
      </c>
      <c r="T92" s="165">
        <v>0.50700000000000001</v>
      </c>
      <c r="U92" s="198">
        <v>0.48799999999999999</v>
      </c>
      <c r="V92" s="166">
        <v>0.52600000000000002</v>
      </c>
      <c r="W92" s="166">
        <v>0.48299999999999998</v>
      </c>
      <c r="X92" s="179">
        <v>0.49</v>
      </c>
      <c r="Y92" s="179" t="s">
        <v>899</v>
      </c>
      <c r="Z92" s="157" t="s">
        <v>899</v>
      </c>
      <c r="AA92" s="157" t="s">
        <v>899</v>
      </c>
      <c r="AB92" s="157" t="s">
        <v>899</v>
      </c>
      <c r="AC92" s="157" t="s">
        <v>899</v>
      </c>
      <c r="AD92" s="157" t="s">
        <v>899</v>
      </c>
      <c r="AE92" s="157" t="s">
        <v>899</v>
      </c>
      <c r="AF92" s="157" t="s">
        <v>899</v>
      </c>
      <c r="AG92" s="157" t="s">
        <v>908</v>
      </c>
      <c r="AH92" s="157">
        <v>0</v>
      </c>
      <c r="AI92" s="157" t="s">
        <v>908</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79">
        <v>0.373</v>
      </c>
      <c r="O93">
        <v>0.36099999999999999</v>
      </c>
      <c r="P93">
        <v>0.33400000000000002</v>
      </c>
      <c r="Q93" s="199">
        <v>0.45500000000000002</v>
      </c>
      <c r="R93" s="165">
        <v>0.56599999999999995</v>
      </c>
      <c r="S93" s="165">
        <v>0.56399999999999995</v>
      </c>
      <c r="T93" s="165">
        <v>0.52400000000000002</v>
      </c>
      <c r="U93" s="198">
        <v>0.56200000000000006</v>
      </c>
      <c r="V93" s="166">
        <v>0.55400000000000005</v>
      </c>
      <c r="W93" s="166">
        <v>0.56499999999999995</v>
      </c>
      <c r="X93" s="179">
        <v>0.56599999999999995</v>
      </c>
      <c r="Y93" s="179" t="s">
        <v>899</v>
      </c>
      <c r="Z93" s="157" t="s">
        <v>899</v>
      </c>
      <c r="AA93" s="157" t="s">
        <v>899</v>
      </c>
      <c r="AB93" s="157" t="s">
        <v>899</v>
      </c>
      <c r="AC93" s="157" t="s">
        <v>899</v>
      </c>
      <c r="AD93" s="157" t="s">
        <v>899</v>
      </c>
      <c r="AE93" s="157" t="s">
        <v>899</v>
      </c>
      <c r="AF93" s="157" t="s">
        <v>899</v>
      </c>
      <c r="AG93" s="157" t="s">
        <v>908</v>
      </c>
      <c r="AH93" s="157">
        <v>0</v>
      </c>
      <c r="AI93" s="157" t="s">
        <v>908</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79">
        <v>0.48599999999999999</v>
      </c>
      <c r="O94">
        <v>0.48599999999999999</v>
      </c>
      <c r="P94">
        <v>0.46100000000000002</v>
      </c>
      <c r="Q94" s="199">
        <v>0.44800000000000001</v>
      </c>
      <c r="R94" s="165">
        <v>0.46300000000000002</v>
      </c>
      <c r="S94" s="165">
        <v>0.45600000000000002</v>
      </c>
      <c r="T94" s="165">
        <v>0.46100000000000002</v>
      </c>
      <c r="U94" s="198">
        <v>0.54200000000000004</v>
      </c>
      <c r="V94" s="166">
        <v>0.59099999999999997</v>
      </c>
      <c r="W94" s="166">
        <v>0.60499999999999998</v>
      </c>
      <c r="X94" s="179">
        <v>0.6</v>
      </c>
      <c r="Y94" s="179" t="s">
        <v>899</v>
      </c>
      <c r="Z94" s="157" t="s">
        <v>899</v>
      </c>
      <c r="AA94" s="157" t="s">
        <v>899</v>
      </c>
      <c r="AB94" s="157" t="s">
        <v>899</v>
      </c>
      <c r="AC94" s="157" t="s">
        <v>899</v>
      </c>
      <c r="AD94" s="157" t="s">
        <v>899</v>
      </c>
      <c r="AE94" s="157" t="s">
        <v>899</v>
      </c>
      <c r="AF94" s="157" t="s">
        <v>899</v>
      </c>
      <c r="AG94" s="157" t="s">
        <v>908</v>
      </c>
      <c r="AH94" s="157">
        <v>0</v>
      </c>
      <c r="AI94" s="157" t="s">
        <v>908</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79">
        <v>0.371</v>
      </c>
      <c r="O95">
        <v>0.371</v>
      </c>
      <c r="P95">
        <v>0.34499999999999997</v>
      </c>
      <c r="Q95" s="199">
        <v>0.33100000000000002</v>
      </c>
      <c r="R95" s="165">
        <v>0.32600000000000001</v>
      </c>
      <c r="S95" s="165">
        <v>0.32700000000000001</v>
      </c>
      <c r="T95" s="165">
        <v>0.33800000000000002</v>
      </c>
      <c r="U95" s="198">
        <v>0.34200000000000003</v>
      </c>
      <c r="V95" s="166">
        <v>0.34300000000000003</v>
      </c>
      <c r="W95" s="166">
        <v>0.34599999999999997</v>
      </c>
      <c r="X95" s="179">
        <v>0.36199999999999999</v>
      </c>
      <c r="Y95" s="179" t="s">
        <v>899</v>
      </c>
      <c r="Z95" s="157" t="s">
        <v>899</v>
      </c>
      <c r="AA95" s="157" t="s">
        <v>899</v>
      </c>
      <c r="AB95" s="157" t="s">
        <v>899</v>
      </c>
      <c r="AC95" s="157" t="s">
        <v>899</v>
      </c>
      <c r="AD95" s="157" t="s">
        <v>899</v>
      </c>
      <c r="AE95" s="157" t="s">
        <v>899</v>
      </c>
      <c r="AF95" s="157" t="s">
        <v>899</v>
      </c>
      <c r="AG95" s="157" t="s">
        <v>908</v>
      </c>
      <c r="AH95" s="157">
        <v>0</v>
      </c>
      <c r="AI95" s="157" t="s">
        <v>908</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79">
        <v>0.48299999999999998</v>
      </c>
      <c r="O96">
        <v>0.48399999999999999</v>
      </c>
      <c r="P96">
        <v>0.46600000000000003</v>
      </c>
      <c r="Q96" s="199">
        <v>0.48499999999999999</v>
      </c>
      <c r="R96" s="165">
        <v>0.495</v>
      </c>
      <c r="S96" s="165">
        <v>0.48699999999999999</v>
      </c>
      <c r="T96" s="165">
        <v>0.51200000000000001</v>
      </c>
      <c r="U96" s="198">
        <v>0.48899999999999999</v>
      </c>
      <c r="V96" s="166">
        <v>0.49399999999999999</v>
      </c>
      <c r="W96" s="166">
        <v>0.501</v>
      </c>
      <c r="X96" s="179">
        <v>0.49</v>
      </c>
      <c r="Y96" s="179" t="s">
        <v>899</v>
      </c>
      <c r="Z96" s="157" t="s">
        <v>899</v>
      </c>
      <c r="AA96" s="157" t="s">
        <v>899</v>
      </c>
      <c r="AB96" s="157" t="s">
        <v>899</v>
      </c>
      <c r="AC96" s="157" t="s">
        <v>899</v>
      </c>
      <c r="AD96" s="157" t="s">
        <v>899</v>
      </c>
      <c r="AE96" s="157" t="s">
        <v>899</v>
      </c>
      <c r="AF96" s="157" t="s">
        <v>899</v>
      </c>
      <c r="AG96" s="157" t="s">
        <v>908</v>
      </c>
      <c r="AH96" s="157">
        <v>0</v>
      </c>
      <c r="AI96" s="157" t="s">
        <v>908</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79">
        <v>0.55100000000000005</v>
      </c>
      <c r="O97">
        <v>0.54700000000000004</v>
      </c>
      <c r="P97">
        <v>0.53600000000000003</v>
      </c>
      <c r="Q97" s="199">
        <v>0.498</v>
      </c>
      <c r="R97" s="165">
        <v>0.46500000000000002</v>
      </c>
      <c r="S97" s="165">
        <v>0.46200000000000002</v>
      </c>
      <c r="T97" s="165">
        <v>0.45400000000000001</v>
      </c>
      <c r="U97" s="198">
        <v>0.42099999999999999</v>
      </c>
      <c r="V97" s="166">
        <v>0.38900000000000001</v>
      </c>
      <c r="W97" s="166">
        <v>0.40799999999999997</v>
      </c>
      <c r="X97" s="179">
        <v>0.39700000000000002</v>
      </c>
      <c r="Y97" s="179" t="s">
        <v>899</v>
      </c>
      <c r="Z97" s="157" t="s">
        <v>899</v>
      </c>
      <c r="AA97" s="157" t="s">
        <v>899</v>
      </c>
      <c r="AB97" s="157" t="s">
        <v>899</v>
      </c>
      <c r="AC97" s="157" t="s">
        <v>899</v>
      </c>
      <c r="AD97" s="157" t="s">
        <v>899</v>
      </c>
      <c r="AE97" s="157" t="s">
        <v>899</v>
      </c>
      <c r="AF97" s="157" t="s">
        <v>899</v>
      </c>
      <c r="AG97" s="157" t="s">
        <v>908</v>
      </c>
      <c r="AH97" s="157">
        <v>0</v>
      </c>
      <c r="AI97" s="157" t="s">
        <v>908</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79">
        <v>0.308</v>
      </c>
      <c r="O98">
        <v>0.39100000000000001</v>
      </c>
      <c r="P98">
        <v>0.46200000000000002</v>
      </c>
      <c r="Q98" s="199">
        <v>0.45300000000000001</v>
      </c>
      <c r="R98" s="165">
        <v>0.44700000000000001</v>
      </c>
      <c r="S98" s="165">
        <v>0.441</v>
      </c>
      <c r="T98" s="165">
        <v>0.46200000000000002</v>
      </c>
      <c r="U98" s="198">
        <v>0.46600000000000003</v>
      </c>
      <c r="V98" s="166">
        <v>0.45900000000000002</v>
      </c>
      <c r="W98" s="166">
        <v>0.47</v>
      </c>
      <c r="X98" s="179">
        <v>0.47399999999999998</v>
      </c>
      <c r="Y98" s="179" t="s">
        <v>899</v>
      </c>
      <c r="Z98" s="157" t="s">
        <v>899</v>
      </c>
      <c r="AA98" s="157" t="s">
        <v>899</v>
      </c>
      <c r="AB98" s="157" t="s">
        <v>899</v>
      </c>
      <c r="AC98" s="157" t="s">
        <v>899</v>
      </c>
      <c r="AD98" s="157" t="s">
        <v>899</v>
      </c>
      <c r="AE98" s="157" t="s">
        <v>899</v>
      </c>
      <c r="AF98" s="157" t="s">
        <v>899</v>
      </c>
      <c r="AG98" s="157" t="s">
        <v>908</v>
      </c>
      <c r="AH98" s="157">
        <v>0</v>
      </c>
      <c r="AI98" s="157" t="s">
        <v>908</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79">
        <v>0.41599999999999998</v>
      </c>
      <c r="O99">
        <v>0.51300000000000001</v>
      </c>
      <c r="P99">
        <v>0.53900000000000003</v>
      </c>
      <c r="Q99" s="199">
        <v>0.57199999999999995</v>
      </c>
      <c r="R99" s="165">
        <v>0.57499999999999996</v>
      </c>
      <c r="S99" s="165">
        <v>0.66100000000000003</v>
      </c>
      <c r="T99" s="165">
        <v>0.65400000000000003</v>
      </c>
      <c r="U99" s="198">
        <v>0.64500000000000002</v>
      </c>
      <c r="V99" s="166">
        <v>0.64800000000000002</v>
      </c>
      <c r="W99" s="166">
        <v>0.63300000000000001</v>
      </c>
      <c r="X99" s="179">
        <v>0.60799999999999998</v>
      </c>
      <c r="Y99" s="179">
        <v>0.56200000000000006</v>
      </c>
      <c r="Z99" s="157">
        <v>0.439</v>
      </c>
      <c r="AA99" s="157">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79">
        <v>0.5</v>
      </c>
      <c r="O100">
        <v>0.51200000000000001</v>
      </c>
      <c r="P100">
        <v>0.52900000000000003</v>
      </c>
      <c r="Q100" s="199">
        <v>0.52300000000000002</v>
      </c>
      <c r="R100" s="165">
        <v>0.51700000000000002</v>
      </c>
      <c r="S100" s="165">
        <v>0.48799999999999999</v>
      </c>
      <c r="T100" s="165">
        <v>0.49299999999999999</v>
      </c>
      <c r="U100" s="198">
        <v>0.439</v>
      </c>
      <c r="V100" s="166">
        <v>0.436</v>
      </c>
      <c r="W100" s="166">
        <v>0.436</v>
      </c>
      <c r="X100" s="179">
        <v>0.441</v>
      </c>
      <c r="Y100" s="179" t="s">
        <v>899</v>
      </c>
      <c r="Z100" s="157" t="s">
        <v>899</v>
      </c>
      <c r="AA100" s="157" t="s">
        <v>899</v>
      </c>
      <c r="AB100" s="157" t="s">
        <v>899</v>
      </c>
      <c r="AC100" s="157" t="s">
        <v>899</v>
      </c>
      <c r="AD100" s="157" t="s">
        <v>899</v>
      </c>
      <c r="AE100" s="157" t="s">
        <v>899</v>
      </c>
      <c r="AF100" s="157" t="s">
        <v>899</v>
      </c>
      <c r="AG100" s="157" t="s">
        <v>908</v>
      </c>
      <c r="AH100" s="157">
        <v>0</v>
      </c>
      <c r="AI100" s="157" t="s">
        <v>908</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t="s">
        <v>899</v>
      </c>
      <c r="L101" s="165">
        <v>453.7</v>
      </c>
      <c r="M101" s="165">
        <v>507.9</v>
      </c>
      <c r="N101" t="s">
        <v>899</v>
      </c>
      <c r="O101" t="s">
        <v>899</v>
      </c>
      <c r="P101" t="s">
        <v>899</v>
      </c>
      <c r="Q101" t="s">
        <v>899</v>
      </c>
      <c r="R101" t="s">
        <v>899</v>
      </c>
      <c r="S101" t="s">
        <v>899</v>
      </c>
      <c r="T101" t="s">
        <v>899</v>
      </c>
      <c r="U101" t="s">
        <v>899</v>
      </c>
      <c r="V101" t="s">
        <v>899</v>
      </c>
      <c r="W101" s="166">
        <v>0.45200000000000001</v>
      </c>
      <c r="X101" s="179">
        <v>0.39900000000000002</v>
      </c>
      <c r="Y101" t="s">
        <v>899</v>
      </c>
      <c r="Z101" t="s">
        <v>899</v>
      </c>
      <c r="AA101" t="s">
        <v>899</v>
      </c>
      <c r="AB101" t="s">
        <v>899</v>
      </c>
      <c r="AC101" t="s">
        <v>899</v>
      </c>
      <c r="AD101" t="s">
        <v>899</v>
      </c>
      <c r="AE101" t="s">
        <v>899</v>
      </c>
      <c r="AF101" t="s">
        <v>899</v>
      </c>
      <c r="AG101" t="s">
        <v>899</v>
      </c>
      <c r="AH101" s="157">
        <v>0</v>
      </c>
      <c r="AI101" s="157" t="s">
        <v>908</v>
      </c>
      <c r="AJ101" t="s">
        <v>899</v>
      </c>
      <c r="AK101" t="s">
        <v>899</v>
      </c>
      <c r="AL101" t="s">
        <v>899</v>
      </c>
      <c r="AM101" t="s">
        <v>899</v>
      </c>
      <c r="AN101" t="s">
        <v>899</v>
      </c>
      <c r="AO101" t="s">
        <v>899</v>
      </c>
      <c r="AP101" t="s">
        <v>899</v>
      </c>
      <c r="AQ101" t="s">
        <v>899</v>
      </c>
      <c r="AR101"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79">
        <v>0.38300000000000001</v>
      </c>
      <c r="O102">
        <v>0.39200000000000002</v>
      </c>
      <c r="P102">
        <v>0.39200000000000002</v>
      </c>
      <c r="Q102" s="199">
        <v>0.40799999999999997</v>
      </c>
      <c r="R102" s="165">
        <v>0.41899999999999998</v>
      </c>
      <c r="S102" s="165">
        <v>0.41599999999999998</v>
      </c>
      <c r="T102" s="165">
        <v>0.436</v>
      </c>
      <c r="U102" s="198">
        <v>0.42799999999999999</v>
      </c>
      <c r="V102" s="166">
        <v>0.433</v>
      </c>
      <c r="W102" s="166">
        <v>0.42799999999999999</v>
      </c>
      <c r="X102" s="179">
        <v>0.41499999999999998</v>
      </c>
      <c r="Y102" s="179">
        <v>0.379</v>
      </c>
      <c r="Z102" s="157">
        <v>0.185</v>
      </c>
      <c r="AA102" s="157">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79">
        <v>0.31900000000000001</v>
      </c>
      <c r="O103">
        <v>0.32800000000000001</v>
      </c>
      <c r="P103">
        <v>0.32800000000000001</v>
      </c>
      <c r="Q103" s="199">
        <v>0.33500000000000002</v>
      </c>
      <c r="R103" s="165">
        <v>0.34699999999999998</v>
      </c>
      <c r="S103" s="165">
        <v>0.35799999999999998</v>
      </c>
      <c r="T103" s="165">
        <v>0.371</v>
      </c>
      <c r="U103" s="198">
        <v>0.38900000000000001</v>
      </c>
      <c r="V103" s="166">
        <v>0.35199999999999998</v>
      </c>
      <c r="W103" s="166">
        <v>0.317</v>
      </c>
      <c r="X103" s="179">
        <v>0.32800000000000001</v>
      </c>
      <c r="Y103" s="179" t="s">
        <v>899</v>
      </c>
      <c r="Z103" s="157" t="s">
        <v>899</v>
      </c>
      <c r="AA103" s="157" t="s">
        <v>899</v>
      </c>
      <c r="AB103" s="157" t="s">
        <v>899</v>
      </c>
      <c r="AC103" s="157" t="s">
        <v>899</v>
      </c>
      <c r="AD103" s="157" t="s">
        <v>899</v>
      </c>
      <c r="AE103" s="157" t="s">
        <v>899</v>
      </c>
      <c r="AF103" s="157" t="s">
        <v>899</v>
      </c>
      <c r="AG103" s="157" t="s">
        <v>908</v>
      </c>
      <c r="AH103" s="157">
        <v>0</v>
      </c>
      <c r="AI103" s="157" t="s">
        <v>908</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79">
        <v>0.432</v>
      </c>
      <c r="O104">
        <v>0.433</v>
      </c>
      <c r="P104">
        <v>0.40200000000000002</v>
      </c>
      <c r="Q104" s="199">
        <v>0.39100000000000001</v>
      </c>
      <c r="R104" s="165">
        <v>0.40600000000000003</v>
      </c>
      <c r="S104" s="165">
        <v>0.40200000000000002</v>
      </c>
      <c r="T104" s="165">
        <v>0.40699999999999997</v>
      </c>
      <c r="U104" s="198">
        <v>0.41599999999999998</v>
      </c>
      <c r="V104" s="166">
        <v>0.41699999999999998</v>
      </c>
      <c r="W104" s="166">
        <v>0.43099999999999999</v>
      </c>
      <c r="X104" s="179">
        <v>0.40200000000000002</v>
      </c>
      <c r="Y104" s="179" t="s">
        <v>899</v>
      </c>
      <c r="Z104" s="157" t="s">
        <v>899</v>
      </c>
      <c r="AA104" s="157" t="s">
        <v>899</v>
      </c>
      <c r="AB104" s="157" t="s">
        <v>899</v>
      </c>
      <c r="AC104" s="157" t="s">
        <v>899</v>
      </c>
      <c r="AD104" s="157" t="s">
        <v>899</v>
      </c>
      <c r="AE104" s="157" t="s">
        <v>899</v>
      </c>
      <c r="AF104" s="157" t="s">
        <v>899</v>
      </c>
      <c r="AG104" s="157" t="s">
        <v>908</v>
      </c>
      <c r="AH104" s="157">
        <v>0</v>
      </c>
      <c r="AI104" s="157" t="s">
        <v>908</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79">
        <v>0.443</v>
      </c>
      <c r="O105">
        <v>0.45800000000000002</v>
      </c>
      <c r="P105">
        <v>0.442</v>
      </c>
      <c r="Q105" s="199">
        <v>0.40799999999999997</v>
      </c>
      <c r="R105" s="165">
        <v>0.44400000000000001</v>
      </c>
      <c r="S105" s="165">
        <v>0.433</v>
      </c>
      <c r="T105" s="165">
        <v>0.42899999999999999</v>
      </c>
      <c r="U105" s="198">
        <v>0.42599999999999999</v>
      </c>
      <c r="V105" s="166">
        <v>0.42399999999999999</v>
      </c>
      <c r="W105" s="166">
        <v>0.435</v>
      </c>
      <c r="X105" s="179">
        <v>0.45500000000000002</v>
      </c>
      <c r="Y105" s="179" t="s">
        <v>899</v>
      </c>
      <c r="Z105" s="157" t="s">
        <v>899</v>
      </c>
      <c r="AA105" s="157" t="s">
        <v>899</v>
      </c>
      <c r="AB105" s="157" t="s">
        <v>899</v>
      </c>
      <c r="AC105" s="157" t="s">
        <v>899</v>
      </c>
      <c r="AD105" s="157" t="s">
        <v>899</v>
      </c>
      <c r="AE105" s="157" t="s">
        <v>899</v>
      </c>
      <c r="AF105" s="157" t="s">
        <v>899</v>
      </c>
      <c r="AG105" s="157" t="s">
        <v>908</v>
      </c>
      <c r="AH105" s="157">
        <v>0</v>
      </c>
      <c r="AI105" s="157" t="s">
        <v>908</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79">
        <v>0.50900000000000001</v>
      </c>
      <c r="O106">
        <v>0.505</v>
      </c>
      <c r="P106">
        <v>0.501</v>
      </c>
      <c r="Q106" s="199">
        <v>0.49099999999999999</v>
      </c>
      <c r="R106" s="165">
        <v>0.50900000000000001</v>
      </c>
      <c r="S106" s="165">
        <v>0.52900000000000003</v>
      </c>
      <c r="T106" s="165">
        <v>0.55000000000000004</v>
      </c>
      <c r="U106" s="198">
        <v>0.52900000000000003</v>
      </c>
      <c r="V106" s="166">
        <v>0.51</v>
      </c>
      <c r="W106" s="166">
        <v>0.52600000000000002</v>
      </c>
      <c r="X106" s="179">
        <v>0.54500000000000004</v>
      </c>
      <c r="Y106" s="179" t="s">
        <v>899</v>
      </c>
      <c r="Z106" s="157" t="s">
        <v>899</v>
      </c>
      <c r="AA106" s="157" t="s">
        <v>899</v>
      </c>
      <c r="AB106" s="157" t="s">
        <v>899</v>
      </c>
      <c r="AC106" s="157" t="s">
        <v>899</v>
      </c>
      <c r="AD106" s="157" t="s">
        <v>899</v>
      </c>
      <c r="AE106" s="157" t="s">
        <v>899</v>
      </c>
      <c r="AF106" s="157" t="s">
        <v>899</v>
      </c>
      <c r="AG106" s="157" t="s">
        <v>908</v>
      </c>
      <c r="AH106" s="157">
        <v>0</v>
      </c>
      <c r="AI106" s="157" t="s">
        <v>908</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79">
        <v>0.32400000000000001</v>
      </c>
      <c r="O107">
        <v>0.35299999999999998</v>
      </c>
      <c r="P107">
        <v>0.38800000000000001</v>
      </c>
      <c r="Q107" s="199">
        <v>0.39100000000000001</v>
      </c>
      <c r="R107" s="165">
        <v>0.38500000000000001</v>
      </c>
      <c r="S107" s="165">
        <v>0.35899999999999999</v>
      </c>
      <c r="T107" s="165">
        <v>0.372</v>
      </c>
      <c r="U107" s="198">
        <v>0.35899999999999999</v>
      </c>
      <c r="V107" s="166">
        <v>0.33400000000000002</v>
      </c>
      <c r="W107" s="166">
        <v>0.33100000000000002</v>
      </c>
      <c r="X107" s="179">
        <v>0.33200000000000002</v>
      </c>
      <c r="Y107" s="179" t="s">
        <v>899</v>
      </c>
      <c r="Z107" s="157" t="s">
        <v>899</v>
      </c>
      <c r="AA107" s="157" t="s">
        <v>899</v>
      </c>
      <c r="AB107" s="157" t="s">
        <v>899</v>
      </c>
      <c r="AC107" s="157" t="s">
        <v>899</v>
      </c>
      <c r="AD107" s="157" t="s">
        <v>899</v>
      </c>
      <c r="AE107" s="157" t="s">
        <v>899</v>
      </c>
      <c r="AF107" s="157" t="s">
        <v>899</v>
      </c>
      <c r="AG107" s="157" t="s">
        <v>908</v>
      </c>
      <c r="AH107" s="157">
        <v>0</v>
      </c>
      <c r="AI107" s="157" t="s">
        <v>908</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79">
        <v>0.58899999999999997</v>
      </c>
      <c r="O108">
        <v>0.59599999999999997</v>
      </c>
      <c r="P108">
        <v>0.58799999999999997</v>
      </c>
      <c r="Q108" s="199">
        <v>0.58599999999999997</v>
      </c>
      <c r="R108" s="165">
        <v>0.58499999999999996</v>
      </c>
      <c r="S108" s="165">
        <v>0.57699999999999996</v>
      </c>
      <c r="T108" s="165">
        <v>0.57699999999999996</v>
      </c>
      <c r="U108" s="198">
        <v>0.55200000000000005</v>
      </c>
      <c r="V108" s="166">
        <v>0.56299999999999994</v>
      </c>
      <c r="W108" s="166">
        <v>0.54100000000000004</v>
      </c>
      <c r="X108" s="179">
        <v>0.54</v>
      </c>
      <c r="Y108" s="179" t="s">
        <v>899</v>
      </c>
      <c r="Z108" s="157" t="s">
        <v>899</v>
      </c>
      <c r="AA108" s="157" t="s">
        <v>899</v>
      </c>
      <c r="AB108" s="157" t="s">
        <v>899</v>
      </c>
      <c r="AC108" s="157" t="s">
        <v>899</v>
      </c>
      <c r="AD108" s="157" t="s">
        <v>899</v>
      </c>
      <c r="AE108" s="157" t="s">
        <v>899</v>
      </c>
      <c r="AF108" s="157" t="s">
        <v>899</v>
      </c>
      <c r="AG108" s="157" t="s">
        <v>908</v>
      </c>
      <c r="AH108" s="157">
        <v>0</v>
      </c>
      <c r="AI108" s="157" t="s">
        <v>908</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79">
        <v>0.46600000000000003</v>
      </c>
      <c r="O109">
        <v>0.46100000000000002</v>
      </c>
      <c r="P109">
        <v>0.46</v>
      </c>
      <c r="Q109" s="199">
        <v>0.46300000000000002</v>
      </c>
      <c r="R109" s="165">
        <v>0.46800000000000003</v>
      </c>
      <c r="S109" s="165">
        <v>0.45400000000000001</v>
      </c>
      <c r="T109" s="165">
        <v>0.46800000000000003</v>
      </c>
      <c r="U109" s="198">
        <v>0.499</v>
      </c>
      <c r="V109" s="166">
        <v>0.54900000000000004</v>
      </c>
      <c r="W109" s="166">
        <v>0.53500000000000003</v>
      </c>
      <c r="X109" s="179">
        <v>0.53700000000000003</v>
      </c>
      <c r="Y109" s="179" t="s">
        <v>899</v>
      </c>
      <c r="Z109" s="157" t="s">
        <v>899</v>
      </c>
      <c r="AA109" s="157" t="s">
        <v>899</v>
      </c>
      <c r="AB109" s="157" t="s">
        <v>899</v>
      </c>
      <c r="AC109" s="157" t="s">
        <v>899</v>
      </c>
      <c r="AD109" s="157" t="s">
        <v>899</v>
      </c>
      <c r="AE109" s="157" t="s">
        <v>899</v>
      </c>
      <c r="AF109" s="157" t="s">
        <v>899</v>
      </c>
      <c r="AG109" s="157" t="s">
        <v>908</v>
      </c>
      <c r="AH109" s="157">
        <v>0</v>
      </c>
      <c r="AI109" s="157" t="s">
        <v>908</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79">
        <v>0.41799999999999998</v>
      </c>
      <c r="O110">
        <v>0.40500000000000003</v>
      </c>
      <c r="P110">
        <v>0.39900000000000002</v>
      </c>
      <c r="Q110" s="199">
        <v>0.39400000000000002</v>
      </c>
      <c r="R110" s="165">
        <v>0.38900000000000001</v>
      </c>
      <c r="S110" s="165">
        <v>0.40699999999999997</v>
      </c>
      <c r="T110" s="165">
        <v>0.42699999999999999</v>
      </c>
      <c r="U110" s="198">
        <v>0.42299999999999999</v>
      </c>
      <c r="V110" s="166">
        <v>0.41899999999999998</v>
      </c>
      <c r="W110" s="166">
        <v>0.40699999999999997</v>
      </c>
      <c r="X110" s="179">
        <v>0.41799999999999998</v>
      </c>
      <c r="Y110" s="179" t="s">
        <v>899</v>
      </c>
      <c r="Z110" s="157" t="s">
        <v>899</v>
      </c>
      <c r="AA110" s="157" t="s">
        <v>899</v>
      </c>
      <c r="AB110" s="157" t="s">
        <v>899</v>
      </c>
      <c r="AC110" s="157" t="s">
        <v>899</v>
      </c>
      <c r="AD110" s="157" t="s">
        <v>899</v>
      </c>
      <c r="AE110" s="157" t="s">
        <v>899</v>
      </c>
      <c r="AF110" s="157" t="s">
        <v>899</v>
      </c>
      <c r="AG110" s="157" t="s">
        <v>908</v>
      </c>
      <c r="AH110" s="157">
        <v>0</v>
      </c>
      <c r="AI110" s="157" t="s">
        <v>908</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79">
        <v>0.499</v>
      </c>
      <c r="O111">
        <v>0.51800000000000002</v>
      </c>
      <c r="P111">
        <v>0.52</v>
      </c>
      <c r="Q111" s="199">
        <v>0.51500000000000001</v>
      </c>
      <c r="R111" s="165">
        <v>0.51100000000000001</v>
      </c>
      <c r="S111" s="165">
        <v>0.51100000000000001</v>
      </c>
      <c r="T111" s="165">
        <v>0.52900000000000003</v>
      </c>
      <c r="U111" s="198">
        <v>0.52800000000000002</v>
      </c>
      <c r="V111" s="166">
        <v>0.52</v>
      </c>
      <c r="W111" s="166">
        <v>0.53500000000000003</v>
      </c>
      <c r="X111" s="179">
        <v>0.498</v>
      </c>
      <c r="Y111" s="179">
        <v>0.52100000000000002</v>
      </c>
      <c r="Z111" s="157">
        <v>0.504</v>
      </c>
      <c r="AA111" s="157">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79">
        <v>0.36899999999999999</v>
      </c>
      <c r="O112">
        <v>0.36099999999999999</v>
      </c>
      <c r="P112">
        <v>0.34899999999999998</v>
      </c>
      <c r="Q112" s="199">
        <v>0.34799999999999998</v>
      </c>
      <c r="R112" s="165">
        <v>0.33800000000000002</v>
      </c>
      <c r="S112" s="165">
        <v>0.33400000000000002</v>
      </c>
      <c r="T112" s="165">
        <v>0.316</v>
      </c>
      <c r="U112" s="198">
        <v>0.308</v>
      </c>
      <c r="V112" s="166">
        <v>0.27100000000000002</v>
      </c>
      <c r="W112" s="166">
        <v>0.26100000000000001</v>
      </c>
      <c r="X112" s="179">
        <v>0.27800000000000002</v>
      </c>
      <c r="Y112" s="179" t="s">
        <v>899</v>
      </c>
      <c r="Z112" s="157" t="s">
        <v>899</v>
      </c>
      <c r="AA112" s="157" t="s">
        <v>899</v>
      </c>
      <c r="AB112" s="157" t="s">
        <v>899</v>
      </c>
      <c r="AC112" s="157" t="s">
        <v>899</v>
      </c>
      <c r="AD112" s="157" t="s">
        <v>899</v>
      </c>
      <c r="AE112" s="157" t="s">
        <v>899</v>
      </c>
      <c r="AF112" s="157" t="s">
        <v>899</v>
      </c>
      <c r="AG112" s="157" t="s">
        <v>908</v>
      </c>
      <c r="AH112" s="157">
        <v>0</v>
      </c>
      <c r="AI112" s="157" t="s">
        <v>908</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79">
        <v>0.38300000000000001</v>
      </c>
      <c r="O113">
        <v>0.38100000000000001</v>
      </c>
      <c r="P113">
        <v>0.36599999999999999</v>
      </c>
      <c r="Q113" s="199">
        <v>0.35</v>
      </c>
      <c r="R113" s="165">
        <v>0.34399999999999997</v>
      </c>
      <c r="S113" s="165">
        <v>0.32300000000000001</v>
      </c>
      <c r="T113" s="165">
        <v>0.33200000000000002</v>
      </c>
      <c r="U113" s="198">
        <v>0.34</v>
      </c>
      <c r="V113" s="166">
        <v>0.33700000000000002</v>
      </c>
      <c r="W113" s="166">
        <v>0.33400000000000002</v>
      </c>
      <c r="X113" s="179">
        <v>0.35599999999999998</v>
      </c>
      <c r="Y113" s="179" t="s">
        <v>899</v>
      </c>
      <c r="Z113" s="157" t="s">
        <v>899</v>
      </c>
      <c r="AA113" s="157" t="s">
        <v>899</v>
      </c>
      <c r="AB113" s="157" t="s">
        <v>899</v>
      </c>
      <c r="AC113" s="157" t="s">
        <v>899</v>
      </c>
      <c r="AD113" s="157" t="s">
        <v>899</v>
      </c>
      <c r="AE113" s="157" t="s">
        <v>899</v>
      </c>
      <c r="AF113" s="157" t="s">
        <v>899</v>
      </c>
      <c r="AG113" s="157" t="s">
        <v>908</v>
      </c>
      <c r="AH113" s="157">
        <v>0</v>
      </c>
      <c r="AI113" s="157" t="s">
        <v>908</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79">
        <v>0.51500000000000001</v>
      </c>
      <c r="O114">
        <v>0.505</v>
      </c>
      <c r="P114">
        <v>0.49399999999999999</v>
      </c>
      <c r="Q114" s="199">
        <v>0.51200000000000001</v>
      </c>
      <c r="R114" s="165">
        <v>0.50800000000000001</v>
      </c>
      <c r="S114" s="165">
        <v>0.49399999999999999</v>
      </c>
      <c r="T114" s="165">
        <v>0.46300000000000002</v>
      </c>
      <c r="U114" s="198">
        <v>0.38800000000000001</v>
      </c>
      <c r="V114" s="166">
        <v>0.39100000000000001</v>
      </c>
      <c r="W114" s="166">
        <v>0.4</v>
      </c>
      <c r="X114" s="179">
        <v>0.40300000000000002</v>
      </c>
      <c r="Y114" s="179" t="s">
        <v>899</v>
      </c>
      <c r="Z114" s="157" t="s">
        <v>899</v>
      </c>
      <c r="AA114" s="157" t="s">
        <v>899</v>
      </c>
      <c r="AB114" s="157" t="s">
        <v>899</v>
      </c>
      <c r="AC114" s="157" t="s">
        <v>899</v>
      </c>
      <c r="AD114" s="157" t="s">
        <v>899</v>
      </c>
      <c r="AE114" s="157" t="s">
        <v>899</v>
      </c>
      <c r="AF114" s="157" t="s">
        <v>899</v>
      </c>
      <c r="AG114" s="157" t="s">
        <v>908</v>
      </c>
      <c r="AH114" s="157">
        <v>0</v>
      </c>
      <c r="AI114" s="157" t="s">
        <v>908</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79">
        <v>0.373</v>
      </c>
      <c r="O115">
        <v>0.442</v>
      </c>
      <c r="P115">
        <v>0.45800000000000002</v>
      </c>
      <c r="Q115" s="199">
        <v>0.44600000000000001</v>
      </c>
      <c r="R115" s="165">
        <v>0.47599999999999998</v>
      </c>
      <c r="S115" s="165">
        <v>0.44</v>
      </c>
      <c r="T115" s="165">
        <v>0.42499999999999999</v>
      </c>
      <c r="U115" s="198">
        <v>0.45300000000000001</v>
      </c>
      <c r="V115" s="166">
        <v>0.48</v>
      </c>
      <c r="W115" s="166">
        <v>0.442</v>
      </c>
      <c r="X115" s="179">
        <v>0.48099999999999998</v>
      </c>
      <c r="Y115" s="179" t="s">
        <v>899</v>
      </c>
      <c r="Z115" s="157" t="s">
        <v>899</v>
      </c>
      <c r="AA115" s="157" t="s">
        <v>899</v>
      </c>
      <c r="AB115" s="157" t="s">
        <v>899</v>
      </c>
      <c r="AC115" s="157" t="s">
        <v>899</v>
      </c>
      <c r="AD115" s="157" t="s">
        <v>899</v>
      </c>
      <c r="AE115" s="157" t="s">
        <v>899</v>
      </c>
      <c r="AF115" s="157" t="s">
        <v>899</v>
      </c>
      <c r="AG115" s="157" t="s">
        <v>908</v>
      </c>
      <c r="AH115" s="157">
        <v>0</v>
      </c>
      <c r="AI115" s="157" t="s">
        <v>908</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79">
        <v>0.39200000000000002</v>
      </c>
      <c r="O116">
        <v>0.40100000000000002</v>
      </c>
      <c r="P116">
        <v>0.46700000000000003</v>
      </c>
      <c r="Q116" s="199">
        <v>0.48299999999999998</v>
      </c>
      <c r="R116" s="165">
        <v>0.47899999999999998</v>
      </c>
      <c r="S116" s="165">
        <v>0.48399999999999999</v>
      </c>
      <c r="T116" s="165">
        <v>0.52200000000000002</v>
      </c>
      <c r="U116" s="199">
        <v>0.54200000000000004</v>
      </c>
      <c r="V116" s="201">
        <v>0.53800000000000003</v>
      </c>
      <c r="W116" s="201">
        <v>0.52400000000000002</v>
      </c>
      <c r="X116" s="179">
        <v>0.53600000000000003</v>
      </c>
      <c r="Y116" s="179" t="s">
        <v>899</v>
      </c>
      <c r="Z116" s="157" t="s">
        <v>899</v>
      </c>
      <c r="AA116" s="157" t="s">
        <v>899</v>
      </c>
      <c r="AB116" s="157" t="s">
        <v>899</v>
      </c>
      <c r="AC116" s="157" t="s">
        <v>899</v>
      </c>
      <c r="AD116" s="157" t="s">
        <v>899</v>
      </c>
      <c r="AE116" s="157" t="s">
        <v>899</v>
      </c>
      <c r="AF116" s="157" t="s">
        <v>899</v>
      </c>
      <c r="AG116" s="157" t="s">
        <v>908</v>
      </c>
      <c r="AH116" s="157">
        <v>0</v>
      </c>
      <c r="AI116" s="157" t="s">
        <v>908</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79">
        <v>0.42</v>
      </c>
      <c r="O117">
        <v>0.433</v>
      </c>
      <c r="P117">
        <v>0.45800000000000002</v>
      </c>
      <c r="Q117" s="199">
        <v>0.495</v>
      </c>
      <c r="R117" s="165">
        <v>0.5</v>
      </c>
      <c r="S117" s="165">
        <v>0.52400000000000002</v>
      </c>
      <c r="T117" s="165">
        <v>0.505</v>
      </c>
      <c r="U117" s="198">
        <v>0.47499999999999998</v>
      </c>
      <c r="V117" s="166">
        <v>0.44700000000000001</v>
      </c>
      <c r="W117" s="166">
        <v>0.46400000000000002</v>
      </c>
      <c r="X117" s="179">
        <v>0.44800000000000001</v>
      </c>
      <c r="Y117" s="179" t="s">
        <v>899</v>
      </c>
      <c r="Z117" s="157" t="s">
        <v>899</v>
      </c>
      <c r="AA117" s="157" t="s">
        <v>899</v>
      </c>
      <c r="AB117" s="157" t="s">
        <v>899</v>
      </c>
      <c r="AC117" s="157" t="s">
        <v>899</v>
      </c>
      <c r="AD117" s="157" t="s">
        <v>899</v>
      </c>
      <c r="AE117" s="157" t="s">
        <v>899</v>
      </c>
      <c r="AF117" s="157" t="s">
        <v>899</v>
      </c>
      <c r="AG117" s="157" t="s">
        <v>908</v>
      </c>
      <c r="AH117" s="157">
        <v>0</v>
      </c>
      <c r="AI117" s="157" t="s">
        <v>908</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79">
        <v>0.34599999999999997</v>
      </c>
      <c r="O118">
        <v>0.36199999999999999</v>
      </c>
      <c r="P118">
        <v>0.36799999999999999</v>
      </c>
      <c r="Q118" s="199">
        <v>0.36499999999999999</v>
      </c>
      <c r="R118" s="165">
        <v>0.35899999999999999</v>
      </c>
      <c r="S118" s="165">
        <v>0.33200000000000002</v>
      </c>
      <c r="T118" s="165">
        <v>0.34200000000000003</v>
      </c>
      <c r="U118" s="198">
        <v>0.32800000000000001</v>
      </c>
      <c r="V118" s="166">
        <v>0.316</v>
      </c>
      <c r="W118" s="166">
        <v>0.32</v>
      </c>
      <c r="X118" s="179">
        <v>0.32300000000000001</v>
      </c>
      <c r="Y118" s="179">
        <v>0.67500000000000004</v>
      </c>
      <c r="Z118" s="157">
        <v>0.623</v>
      </c>
      <c r="AA118" s="157">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79">
        <v>0.36899999999999999</v>
      </c>
      <c r="O119">
        <v>0.373</v>
      </c>
      <c r="P119">
        <v>0.36399999999999999</v>
      </c>
      <c r="Q119" s="199">
        <v>0.36799999999999999</v>
      </c>
      <c r="R119" s="165">
        <v>0.36199999999999999</v>
      </c>
      <c r="S119" s="165">
        <v>0.35599999999999998</v>
      </c>
      <c r="T119" s="165">
        <v>0.36699999999999999</v>
      </c>
      <c r="U119" s="198">
        <v>0.35199999999999998</v>
      </c>
      <c r="V119" s="166">
        <v>0.34200000000000003</v>
      </c>
      <c r="W119" s="166">
        <v>0.32700000000000001</v>
      </c>
      <c r="X119" s="179">
        <v>0.32400000000000001</v>
      </c>
      <c r="Y119" s="179" t="s">
        <v>899</v>
      </c>
      <c r="Z119" s="157" t="s">
        <v>899</v>
      </c>
      <c r="AA119" s="157" t="s">
        <v>899</v>
      </c>
      <c r="AB119" s="157" t="s">
        <v>899</v>
      </c>
      <c r="AC119" s="157" t="s">
        <v>899</v>
      </c>
      <c r="AD119" s="157" t="s">
        <v>899</v>
      </c>
      <c r="AE119" s="157" t="s">
        <v>899</v>
      </c>
      <c r="AF119" s="157" t="s">
        <v>899</v>
      </c>
      <c r="AG119" s="157" t="s">
        <v>908</v>
      </c>
      <c r="AH119" s="157">
        <v>0</v>
      </c>
      <c r="AI119" s="157" t="s">
        <v>908</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79">
        <v>0.45600000000000002</v>
      </c>
      <c r="O120">
        <v>0.38700000000000001</v>
      </c>
      <c r="P120">
        <v>0.379</v>
      </c>
      <c r="Q120" s="198">
        <v>0.36</v>
      </c>
      <c r="R120" s="196">
        <v>0.36</v>
      </c>
      <c r="S120" s="196">
        <v>0.373</v>
      </c>
      <c r="T120" s="196">
        <v>0.39700000000000002</v>
      </c>
      <c r="U120" s="198">
        <v>0.41899999999999998</v>
      </c>
      <c r="V120" s="166">
        <v>0.42799999999999999</v>
      </c>
      <c r="W120" s="166">
        <v>0.42699999999999999</v>
      </c>
      <c r="X120" s="179">
        <v>0.438</v>
      </c>
      <c r="Y120" s="179" t="s">
        <v>899</v>
      </c>
      <c r="Z120" s="157" t="s">
        <v>899</v>
      </c>
      <c r="AA120" s="157" t="s">
        <v>899</v>
      </c>
      <c r="AB120" s="157" t="s">
        <v>899</v>
      </c>
      <c r="AC120" s="157" t="s">
        <v>899</v>
      </c>
      <c r="AD120" s="157" t="s">
        <v>899</v>
      </c>
      <c r="AE120" s="157" t="s">
        <v>899</v>
      </c>
      <c r="AF120" s="157" t="s">
        <v>899</v>
      </c>
      <c r="AG120" s="157" t="s">
        <v>908</v>
      </c>
      <c r="AH120" s="157">
        <v>0</v>
      </c>
      <c r="AI120" s="157" t="s">
        <v>908</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79">
        <v>0.46200000000000002</v>
      </c>
      <c r="O121">
        <v>0.47199999999999998</v>
      </c>
      <c r="P121">
        <v>0.48099999999999998</v>
      </c>
      <c r="Q121" s="199">
        <v>0.48199999999999998</v>
      </c>
      <c r="R121" s="165">
        <v>0.47399999999999998</v>
      </c>
      <c r="S121" s="165">
        <v>0.48099999999999998</v>
      </c>
      <c r="T121" s="165">
        <v>0.52</v>
      </c>
      <c r="U121" s="198">
        <v>0.54200000000000004</v>
      </c>
      <c r="V121" s="166">
        <v>0.52100000000000002</v>
      </c>
      <c r="W121" s="166">
        <v>0.50600000000000001</v>
      </c>
      <c r="X121" s="179">
        <v>0.50600000000000001</v>
      </c>
      <c r="Y121" s="179">
        <v>0.56299999999999994</v>
      </c>
      <c r="Z121" s="157">
        <v>0.55200000000000005</v>
      </c>
      <c r="AA121" s="157">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79">
        <v>0.24</v>
      </c>
      <c r="O122">
        <v>0.251</v>
      </c>
      <c r="P122">
        <v>0.24099999999999999</v>
      </c>
      <c r="Q122" s="199">
        <v>0.23499999999999999</v>
      </c>
      <c r="R122" s="165">
        <v>0.23499999999999999</v>
      </c>
      <c r="S122" s="165">
        <v>0.218</v>
      </c>
      <c r="T122" s="165">
        <v>0.22</v>
      </c>
      <c r="U122" s="198">
        <v>0.23</v>
      </c>
      <c r="V122" s="166">
        <v>0.23799999999999999</v>
      </c>
      <c r="W122" s="166">
        <v>0.248</v>
      </c>
      <c r="X122" s="179">
        <v>0.26600000000000001</v>
      </c>
      <c r="Y122" s="179" t="s">
        <v>899</v>
      </c>
      <c r="Z122" s="157" t="s">
        <v>899</v>
      </c>
      <c r="AA122" s="157" t="s">
        <v>899</v>
      </c>
      <c r="AB122" s="157" t="s">
        <v>899</v>
      </c>
      <c r="AC122" s="157" t="s">
        <v>899</v>
      </c>
      <c r="AD122" s="157" t="s">
        <v>899</v>
      </c>
      <c r="AE122" s="157" t="s">
        <v>899</v>
      </c>
      <c r="AF122" s="157" t="s">
        <v>899</v>
      </c>
      <c r="AG122" s="157" t="s">
        <v>908</v>
      </c>
      <c r="AH122" s="157">
        <v>0</v>
      </c>
      <c r="AI122" s="157" t="s">
        <v>908</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79">
        <v>0.23300000000000001</v>
      </c>
      <c r="O123">
        <v>0.24</v>
      </c>
      <c r="P123">
        <v>0.245</v>
      </c>
      <c r="Q123" s="199">
        <v>0.245</v>
      </c>
      <c r="R123" s="165">
        <v>0.34200000000000003</v>
      </c>
      <c r="S123" s="165">
        <v>0.35</v>
      </c>
      <c r="T123" s="165">
        <v>0.34499999999999997</v>
      </c>
      <c r="U123" s="198">
        <v>0.40699999999999997</v>
      </c>
      <c r="V123" s="166">
        <v>0.42199999999999999</v>
      </c>
      <c r="W123" s="166">
        <v>0.42499999999999999</v>
      </c>
      <c r="X123" s="179">
        <v>0.437</v>
      </c>
      <c r="Y123" s="179" t="s">
        <v>899</v>
      </c>
      <c r="Z123" s="157" t="s">
        <v>899</v>
      </c>
      <c r="AA123" s="157" t="s">
        <v>899</v>
      </c>
      <c r="AB123" s="157" t="s">
        <v>899</v>
      </c>
      <c r="AC123" s="157" t="s">
        <v>899</v>
      </c>
      <c r="AD123" s="157" t="s">
        <v>899</v>
      </c>
      <c r="AE123" s="157" t="s">
        <v>899</v>
      </c>
      <c r="AF123" s="157" t="s">
        <v>899</v>
      </c>
      <c r="AG123" s="157" t="s">
        <v>908</v>
      </c>
      <c r="AH123" s="157">
        <v>0</v>
      </c>
      <c r="AI123" s="157" t="s">
        <v>908</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79">
        <v>0.25600000000000001</v>
      </c>
      <c r="O124">
        <v>0.26600000000000001</v>
      </c>
      <c r="P124">
        <v>0.26800000000000002</v>
      </c>
      <c r="Q124" s="199">
        <v>0.25600000000000001</v>
      </c>
      <c r="R124" s="165">
        <v>0.26700000000000002</v>
      </c>
      <c r="S124" s="165">
        <v>0.312</v>
      </c>
      <c r="T124" s="165">
        <v>0.33300000000000002</v>
      </c>
      <c r="U124" s="198">
        <v>0.31900000000000001</v>
      </c>
      <c r="V124" s="166">
        <v>0.28999999999999998</v>
      </c>
      <c r="W124" s="166">
        <v>0.3</v>
      </c>
      <c r="X124" s="179">
        <v>0.29199999999999998</v>
      </c>
      <c r="Y124" s="179" t="s">
        <v>899</v>
      </c>
      <c r="Z124" s="157" t="s">
        <v>899</v>
      </c>
      <c r="AA124" s="157" t="s">
        <v>899</v>
      </c>
      <c r="AB124" s="157" t="s">
        <v>899</v>
      </c>
      <c r="AC124" s="157" t="s">
        <v>899</v>
      </c>
      <c r="AD124" s="157" t="s">
        <v>899</v>
      </c>
      <c r="AE124" s="157" t="s">
        <v>899</v>
      </c>
      <c r="AF124" s="157" t="s">
        <v>899</v>
      </c>
      <c r="AG124" s="157" t="s">
        <v>908</v>
      </c>
      <c r="AH124" s="157">
        <v>0</v>
      </c>
      <c r="AI124" s="157" t="s">
        <v>908</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79">
        <v>0.36499999999999999</v>
      </c>
      <c r="O125">
        <v>0.39100000000000001</v>
      </c>
      <c r="P125">
        <v>0.39900000000000002</v>
      </c>
      <c r="Q125" s="199">
        <v>0.38800000000000001</v>
      </c>
      <c r="R125" s="165">
        <v>0.34300000000000003</v>
      </c>
      <c r="S125" s="165">
        <v>0.34799999999999998</v>
      </c>
      <c r="T125" s="165">
        <v>0.34899999999999998</v>
      </c>
      <c r="U125" s="198">
        <v>0.35099999999999998</v>
      </c>
      <c r="V125" s="166">
        <v>0.33400000000000002</v>
      </c>
      <c r="W125" s="166">
        <v>0.33200000000000002</v>
      </c>
      <c r="X125" s="179">
        <v>0.315</v>
      </c>
      <c r="Y125" s="179">
        <v>5.7000000000000002E-2</v>
      </c>
      <c r="Z125" s="157">
        <v>6.6000000000000003E-2</v>
      </c>
      <c r="AA125" s="157">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79">
        <v>0.51600000000000001</v>
      </c>
      <c r="O126">
        <v>0.52200000000000002</v>
      </c>
      <c r="P126">
        <v>0.52500000000000002</v>
      </c>
      <c r="Q126" s="199">
        <v>0.52200000000000002</v>
      </c>
      <c r="R126" s="165">
        <v>0.56799999999999995</v>
      </c>
      <c r="S126" s="165">
        <v>0.58199999999999996</v>
      </c>
      <c r="T126" s="165">
        <v>0.59699999999999998</v>
      </c>
      <c r="U126" s="198">
        <v>0.58399999999999996</v>
      </c>
      <c r="V126" s="166">
        <v>0.57699999999999996</v>
      </c>
      <c r="W126" s="166">
        <v>0.58799999999999997</v>
      </c>
      <c r="X126" s="179">
        <v>0.58899999999999997</v>
      </c>
      <c r="Y126" s="179" t="s">
        <v>899</v>
      </c>
      <c r="Z126" s="157" t="s">
        <v>899</v>
      </c>
      <c r="AA126" s="157" t="s">
        <v>899</v>
      </c>
      <c r="AB126" s="157" t="s">
        <v>899</v>
      </c>
      <c r="AC126" s="157" t="s">
        <v>899</v>
      </c>
      <c r="AD126" s="157" t="s">
        <v>899</v>
      </c>
      <c r="AE126" s="157" t="s">
        <v>899</v>
      </c>
      <c r="AF126" s="157" t="s">
        <v>899</v>
      </c>
      <c r="AG126" s="157" t="s">
        <v>908</v>
      </c>
      <c r="AH126" s="157">
        <v>0</v>
      </c>
      <c r="AI126" s="157" t="s">
        <v>908</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79">
        <v>0.25</v>
      </c>
      <c r="O127">
        <v>0.24</v>
      </c>
      <c r="P127">
        <v>0.24299999999999999</v>
      </c>
      <c r="Q127" s="199">
        <v>0.254</v>
      </c>
      <c r="R127" s="165">
        <v>0.253</v>
      </c>
      <c r="S127" s="165">
        <v>0.248</v>
      </c>
      <c r="T127" s="165">
        <v>0.27</v>
      </c>
      <c r="U127" s="198">
        <v>0.27400000000000002</v>
      </c>
      <c r="V127" s="166">
        <v>0.27900000000000003</v>
      </c>
      <c r="W127" s="166">
        <v>0.28299999999999997</v>
      </c>
      <c r="X127" s="179">
        <v>0.28100000000000003</v>
      </c>
      <c r="Y127" s="179" t="s">
        <v>899</v>
      </c>
      <c r="Z127" s="157" t="s">
        <v>899</v>
      </c>
      <c r="AA127" s="157" t="s">
        <v>899</v>
      </c>
      <c r="AB127" s="157" t="s">
        <v>899</v>
      </c>
      <c r="AC127" s="157" t="s">
        <v>899</v>
      </c>
      <c r="AD127" s="157" t="s">
        <v>899</v>
      </c>
      <c r="AE127" s="157" t="s">
        <v>899</v>
      </c>
      <c r="AF127" s="157" t="s">
        <v>899</v>
      </c>
      <c r="AG127" s="157" t="s">
        <v>908</v>
      </c>
      <c r="AH127" s="157">
        <v>0</v>
      </c>
      <c r="AI127" s="157" t="s">
        <v>908</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79">
        <v>0.38100000000000001</v>
      </c>
      <c r="O128">
        <v>0.39900000000000002</v>
      </c>
      <c r="P128">
        <v>0.374</v>
      </c>
      <c r="Q128" s="199">
        <v>0.39800000000000002</v>
      </c>
      <c r="R128" s="165">
        <v>0.46800000000000003</v>
      </c>
      <c r="S128" s="165">
        <v>0.41399999999999998</v>
      </c>
      <c r="T128" s="165">
        <v>0.436</v>
      </c>
      <c r="U128" s="199">
        <v>0.435</v>
      </c>
      <c r="V128" s="201">
        <v>0.38900000000000001</v>
      </c>
      <c r="W128" s="201">
        <v>0.375</v>
      </c>
      <c r="X128" s="179">
        <v>0.39300000000000002</v>
      </c>
      <c r="Y128" s="179">
        <v>0.59599999999999997</v>
      </c>
      <c r="Z128" s="157">
        <v>0.57499999999999996</v>
      </c>
      <c r="AA128" s="157">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79">
        <v>0.443</v>
      </c>
      <c r="O129">
        <v>0.46300000000000002</v>
      </c>
      <c r="P129">
        <v>0.45200000000000001</v>
      </c>
      <c r="Q129" s="199">
        <v>0.46800000000000003</v>
      </c>
      <c r="R129" s="165">
        <v>0.47699999999999998</v>
      </c>
      <c r="S129" s="165">
        <v>0.54100000000000004</v>
      </c>
      <c r="T129" s="165">
        <v>0.51800000000000002</v>
      </c>
      <c r="U129" s="198">
        <v>0.48299999999999998</v>
      </c>
      <c r="V129" s="166">
        <v>0.48399999999999999</v>
      </c>
      <c r="W129" s="166">
        <v>0.51100000000000001</v>
      </c>
      <c r="X129" s="179">
        <v>0.499</v>
      </c>
      <c r="Y129" s="179" t="s">
        <v>899</v>
      </c>
      <c r="Z129" s="157" t="s">
        <v>899</v>
      </c>
      <c r="AA129" s="157" t="s">
        <v>899</v>
      </c>
      <c r="AB129" s="157" t="s">
        <v>899</v>
      </c>
      <c r="AC129" s="157" t="s">
        <v>899</v>
      </c>
      <c r="AD129" s="157" t="s">
        <v>899</v>
      </c>
      <c r="AE129" s="157" t="s">
        <v>899</v>
      </c>
      <c r="AF129" s="157" t="s">
        <v>899</v>
      </c>
      <c r="AG129" s="157" t="s">
        <v>908</v>
      </c>
      <c r="AH129" s="157">
        <v>0</v>
      </c>
      <c r="AI129" s="157" t="s">
        <v>908</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79">
        <v>0.27600000000000002</v>
      </c>
      <c r="O130">
        <v>0.30099999999999999</v>
      </c>
      <c r="P130">
        <v>0.22700000000000001</v>
      </c>
      <c r="Q130" s="199">
        <v>0.20499999999999999</v>
      </c>
      <c r="R130" s="165">
        <v>0.20699999999999999</v>
      </c>
      <c r="S130" s="165">
        <v>0.22</v>
      </c>
      <c r="T130" s="165">
        <v>0.23200000000000001</v>
      </c>
      <c r="U130" s="198">
        <v>0.23699999999999999</v>
      </c>
      <c r="V130" s="166">
        <v>0.23799999999999999</v>
      </c>
      <c r="W130" s="166">
        <v>0.255</v>
      </c>
      <c r="X130" s="179">
        <v>0.27500000000000002</v>
      </c>
      <c r="Y130" s="179" t="s">
        <v>899</v>
      </c>
      <c r="Z130" s="157" t="s">
        <v>899</v>
      </c>
      <c r="AA130" s="157" t="s">
        <v>899</v>
      </c>
      <c r="AB130" s="157" t="s">
        <v>899</v>
      </c>
      <c r="AC130" s="157" t="s">
        <v>899</v>
      </c>
      <c r="AD130" s="157" t="s">
        <v>899</v>
      </c>
      <c r="AE130" s="157" t="s">
        <v>899</v>
      </c>
      <c r="AF130" s="157" t="s">
        <v>899</v>
      </c>
      <c r="AG130" s="157" t="s">
        <v>908</v>
      </c>
      <c r="AH130" s="157">
        <v>0</v>
      </c>
      <c r="AI130" s="157" t="s">
        <v>908</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79">
        <v>0.39700000000000002</v>
      </c>
      <c r="O131">
        <v>0.40500000000000003</v>
      </c>
      <c r="P131">
        <v>0.38700000000000001</v>
      </c>
      <c r="Q131" s="199">
        <v>0.377</v>
      </c>
      <c r="R131" s="165">
        <v>0.38</v>
      </c>
      <c r="S131" s="165">
        <v>0.39100000000000001</v>
      </c>
      <c r="T131" s="165">
        <v>0.41599999999999998</v>
      </c>
      <c r="U131" s="198">
        <v>0.41699999999999998</v>
      </c>
      <c r="V131" s="166">
        <v>0.41299999999999998</v>
      </c>
      <c r="W131" s="166">
        <v>0.41699999999999998</v>
      </c>
      <c r="X131" s="179">
        <v>0.376</v>
      </c>
      <c r="Y131" s="179">
        <v>8.7999999999999995E-2</v>
      </c>
      <c r="Z131" s="157">
        <v>8.1000000000000003E-2</v>
      </c>
      <c r="AA131" s="157">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79">
        <v>0.58099999999999996</v>
      </c>
      <c r="O132">
        <v>0.61599999999999999</v>
      </c>
      <c r="P132">
        <v>0.56699999999999995</v>
      </c>
      <c r="Q132" s="199">
        <v>0.57299999999999995</v>
      </c>
      <c r="R132" s="165">
        <v>0.57499999999999996</v>
      </c>
      <c r="S132" s="165">
        <v>0.57499999999999996</v>
      </c>
      <c r="T132" s="165">
        <v>0.53600000000000003</v>
      </c>
      <c r="U132" s="198">
        <v>0.47299999999999998</v>
      </c>
      <c r="V132" s="166">
        <v>0.45700000000000002</v>
      </c>
      <c r="W132" s="166">
        <v>0.47299999999999998</v>
      </c>
      <c r="X132" s="179">
        <v>0.46899999999999997</v>
      </c>
      <c r="Y132" s="179" t="s">
        <v>899</v>
      </c>
      <c r="Z132" s="157" t="s">
        <v>899</v>
      </c>
      <c r="AA132" s="157" t="s">
        <v>899</v>
      </c>
      <c r="AB132" s="157" t="s">
        <v>899</v>
      </c>
      <c r="AC132" s="157" t="s">
        <v>899</v>
      </c>
      <c r="AD132" s="157" t="s">
        <v>899</v>
      </c>
      <c r="AE132" s="157" t="s">
        <v>899</v>
      </c>
      <c r="AF132" s="157" t="s">
        <v>899</v>
      </c>
      <c r="AG132" s="157" t="s">
        <v>908</v>
      </c>
      <c r="AH132" s="157">
        <v>0</v>
      </c>
      <c r="AI132" s="157" t="s">
        <v>908</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79">
        <v>0.27700000000000002</v>
      </c>
      <c r="O133">
        <v>0.25700000000000001</v>
      </c>
      <c r="P133">
        <v>0.317</v>
      </c>
      <c r="Q133" s="199">
        <v>0.35799999999999998</v>
      </c>
      <c r="R133" s="165">
        <v>0.373</v>
      </c>
      <c r="S133" s="165">
        <v>0.36199999999999999</v>
      </c>
      <c r="T133" s="165">
        <v>0.35699999999999998</v>
      </c>
      <c r="U133" s="198">
        <v>0.32900000000000001</v>
      </c>
      <c r="V133" s="166">
        <v>0.29299999999999998</v>
      </c>
      <c r="W133" s="166">
        <v>0.29699999999999999</v>
      </c>
      <c r="X133" s="179">
        <v>0.31</v>
      </c>
      <c r="Y133" s="179" t="s">
        <v>899</v>
      </c>
      <c r="Z133" s="157" t="s">
        <v>899</v>
      </c>
      <c r="AA133" s="157" t="s">
        <v>899</v>
      </c>
      <c r="AB133" s="157" t="s">
        <v>899</v>
      </c>
      <c r="AC133" s="157" t="s">
        <v>899</v>
      </c>
      <c r="AD133" s="157" t="s">
        <v>899</v>
      </c>
      <c r="AE133" s="157" t="s">
        <v>899</v>
      </c>
      <c r="AF133" s="157" t="s">
        <v>899</v>
      </c>
      <c r="AG133" s="157" t="s">
        <v>908</v>
      </c>
      <c r="AH133" s="157">
        <v>0</v>
      </c>
      <c r="AI133" s="157" t="s">
        <v>908</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79">
        <v>0.51800000000000002</v>
      </c>
      <c r="O134">
        <v>0.505</v>
      </c>
      <c r="P134">
        <v>0.46500000000000002</v>
      </c>
      <c r="Q134" s="199">
        <v>0.46700000000000003</v>
      </c>
      <c r="R134" s="165">
        <v>0.45900000000000002</v>
      </c>
      <c r="S134" s="165">
        <v>0.44900000000000001</v>
      </c>
      <c r="T134" s="165">
        <v>0.439</v>
      </c>
      <c r="U134" s="198">
        <v>0.434</v>
      </c>
      <c r="V134" s="166">
        <v>0.43</v>
      </c>
      <c r="W134" s="166">
        <v>0.41099999999999998</v>
      </c>
      <c r="X134" s="179">
        <v>0.41199999999999998</v>
      </c>
      <c r="Y134" s="179" t="s">
        <v>899</v>
      </c>
      <c r="Z134" s="157" t="s">
        <v>899</v>
      </c>
      <c r="AA134" s="157" t="s">
        <v>899</v>
      </c>
      <c r="AB134" s="157" t="s">
        <v>899</v>
      </c>
      <c r="AC134" s="157" t="s">
        <v>899</v>
      </c>
      <c r="AD134" s="157" t="s">
        <v>899</v>
      </c>
      <c r="AE134" s="157" t="s">
        <v>899</v>
      </c>
      <c r="AF134" s="157" t="s">
        <v>899</v>
      </c>
      <c r="AG134" s="157" t="s">
        <v>908</v>
      </c>
      <c r="AH134" s="157">
        <v>0</v>
      </c>
      <c r="AI134" s="157" t="s">
        <v>908</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79">
        <v>0.33200000000000002</v>
      </c>
      <c r="O135">
        <v>0.35299999999999998</v>
      </c>
      <c r="P135">
        <v>0.34599999999999997</v>
      </c>
      <c r="Q135" s="199">
        <v>0.40300000000000002</v>
      </c>
      <c r="R135" s="165">
        <v>0.41299999999999998</v>
      </c>
      <c r="S135" s="165">
        <v>0.40300000000000002</v>
      </c>
      <c r="T135" s="165">
        <v>0.38900000000000001</v>
      </c>
      <c r="U135" s="198">
        <v>0.39600000000000002</v>
      </c>
      <c r="V135" s="166">
        <v>0.40799999999999997</v>
      </c>
      <c r="W135" s="166">
        <v>0.42399999999999999</v>
      </c>
      <c r="X135" s="179">
        <v>0.42599999999999999</v>
      </c>
      <c r="Y135" s="179" t="s">
        <v>899</v>
      </c>
      <c r="Z135" s="157" t="s">
        <v>899</v>
      </c>
      <c r="AA135" s="157" t="s">
        <v>899</v>
      </c>
      <c r="AB135" s="157" t="s">
        <v>899</v>
      </c>
      <c r="AC135" s="157" t="s">
        <v>899</v>
      </c>
      <c r="AD135" s="157" t="s">
        <v>899</v>
      </c>
      <c r="AE135" s="157" t="s">
        <v>899</v>
      </c>
      <c r="AF135" s="157" t="s">
        <v>899</v>
      </c>
      <c r="AG135" s="157" t="s">
        <v>908</v>
      </c>
      <c r="AH135" s="157">
        <v>0</v>
      </c>
      <c r="AI135" s="157" t="s">
        <v>908</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79">
        <v>0.5</v>
      </c>
      <c r="O136">
        <v>0.48199999999999998</v>
      </c>
      <c r="P136">
        <v>0.44700000000000001</v>
      </c>
      <c r="Q136" s="199">
        <v>0.49199999999999999</v>
      </c>
      <c r="R136" s="165">
        <v>0.45100000000000001</v>
      </c>
      <c r="S136" s="165">
        <v>0.40899999999999997</v>
      </c>
      <c r="T136" s="165">
        <v>0.39700000000000002</v>
      </c>
      <c r="U136" s="198">
        <v>0.41</v>
      </c>
      <c r="V136" s="166">
        <v>0.40200000000000002</v>
      </c>
      <c r="W136" s="166">
        <v>0.38800000000000001</v>
      </c>
      <c r="X136" s="179">
        <v>0.35799999999999998</v>
      </c>
      <c r="Y136" s="179" t="s">
        <v>899</v>
      </c>
      <c r="Z136" s="157" t="s">
        <v>899</v>
      </c>
      <c r="AA136" s="157" t="s">
        <v>899</v>
      </c>
      <c r="AB136" s="157" t="s">
        <v>899</v>
      </c>
      <c r="AC136" s="157" t="s">
        <v>899</v>
      </c>
      <c r="AD136" s="157" t="s">
        <v>899</v>
      </c>
      <c r="AE136" s="157" t="s">
        <v>899</v>
      </c>
      <c r="AF136" s="157" t="s">
        <v>899</v>
      </c>
      <c r="AG136" s="157" t="s">
        <v>908</v>
      </c>
      <c r="AH136" s="157">
        <v>0</v>
      </c>
      <c r="AI136" s="157" t="s">
        <v>908</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79">
        <v>0.378</v>
      </c>
      <c r="O137">
        <v>0.38100000000000001</v>
      </c>
      <c r="P137">
        <v>0.379</v>
      </c>
      <c r="Q137" s="199">
        <v>0.36</v>
      </c>
      <c r="R137" s="165">
        <v>0.371</v>
      </c>
      <c r="S137" s="165">
        <v>0.375</v>
      </c>
      <c r="T137" s="165">
        <v>0.38300000000000001</v>
      </c>
      <c r="U137" s="198">
        <v>0.41599999999999998</v>
      </c>
      <c r="V137" s="166">
        <v>0.41799999999999998</v>
      </c>
      <c r="W137" s="166">
        <v>0.41799999999999998</v>
      </c>
      <c r="X137" s="179">
        <v>0.41699999999999998</v>
      </c>
      <c r="Y137" s="179" t="s">
        <v>899</v>
      </c>
      <c r="Z137" s="157" t="s">
        <v>899</v>
      </c>
      <c r="AA137" s="157" t="s">
        <v>899</v>
      </c>
      <c r="AB137" s="157" t="s">
        <v>899</v>
      </c>
      <c r="AC137" s="157" t="s">
        <v>899</v>
      </c>
      <c r="AD137" s="157" t="s">
        <v>899</v>
      </c>
      <c r="AE137" s="157" t="s">
        <v>899</v>
      </c>
      <c r="AF137" s="157" t="s">
        <v>899</v>
      </c>
      <c r="AG137" s="157" t="s">
        <v>908</v>
      </c>
      <c r="AH137" s="157">
        <v>0</v>
      </c>
      <c r="AI137" s="157" t="s">
        <v>908</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79">
        <v>0.40899999999999997</v>
      </c>
      <c r="O138">
        <v>0.44700000000000001</v>
      </c>
      <c r="P138">
        <v>0.42799999999999999</v>
      </c>
      <c r="Q138" s="199">
        <v>0.39800000000000002</v>
      </c>
      <c r="R138" s="165">
        <v>0.38</v>
      </c>
      <c r="S138" s="165">
        <v>0.35899999999999999</v>
      </c>
      <c r="T138" s="165">
        <v>0.33100000000000002</v>
      </c>
      <c r="U138" s="198">
        <v>0.33200000000000002</v>
      </c>
      <c r="V138" s="166">
        <v>0.32500000000000001</v>
      </c>
      <c r="W138" s="166">
        <v>0.34</v>
      </c>
      <c r="X138" s="179">
        <v>0.30099999999999999</v>
      </c>
      <c r="Y138" s="179">
        <v>0.115</v>
      </c>
      <c r="Z138" s="157">
        <v>8.3000000000000004E-2</v>
      </c>
      <c r="AA138" s="157">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79">
        <v>0.25700000000000001</v>
      </c>
      <c r="O139">
        <v>0.25900000000000001</v>
      </c>
      <c r="P139">
        <v>0.23699999999999999</v>
      </c>
      <c r="Q139" s="199">
        <v>0.27100000000000002</v>
      </c>
      <c r="R139" s="165">
        <v>0.28000000000000003</v>
      </c>
      <c r="S139" s="165">
        <v>0.29599999999999999</v>
      </c>
      <c r="T139" s="165">
        <v>0.30299999999999999</v>
      </c>
      <c r="U139" s="198">
        <v>0.29599999999999999</v>
      </c>
      <c r="V139" s="166">
        <v>0.29499999999999998</v>
      </c>
      <c r="W139" s="166">
        <v>0.29899999999999999</v>
      </c>
      <c r="X139" s="179">
        <v>0.308</v>
      </c>
      <c r="Y139" s="179" t="s">
        <v>899</v>
      </c>
      <c r="Z139" s="157" t="s">
        <v>899</v>
      </c>
      <c r="AA139" s="157" t="s">
        <v>899</v>
      </c>
      <c r="AB139" s="157" t="s">
        <v>899</v>
      </c>
      <c r="AC139" s="157" t="s">
        <v>899</v>
      </c>
      <c r="AD139" s="157" t="s">
        <v>899</v>
      </c>
      <c r="AE139" s="157" t="s">
        <v>899</v>
      </c>
      <c r="AF139" s="157" t="s">
        <v>899</v>
      </c>
      <c r="AG139" s="157" t="s">
        <v>908</v>
      </c>
      <c r="AH139" s="157">
        <v>0</v>
      </c>
      <c r="AI139" s="157" t="s">
        <v>908</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79">
        <v>0.30399999999999999</v>
      </c>
      <c r="O140">
        <v>0.309</v>
      </c>
      <c r="P140">
        <v>0.30299999999999999</v>
      </c>
      <c r="Q140" s="199">
        <v>0.29199999999999998</v>
      </c>
      <c r="R140" s="165">
        <v>0.29199999999999998</v>
      </c>
      <c r="S140" s="165">
        <v>0.28599999999999998</v>
      </c>
      <c r="T140" s="165">
        <v>0.29499999999999998</v>
      </c>
      <c r="U140" s="198">
        <v>0.307</v>
      </c>
      <c r="V140" s="166">
        <v>0.307</v>
      </c>
      <c r="W140" s="166">
        <v>0.318</v>
      </c>
      <c r="X140" s="179">
        <v>0.33</v>
      </c>
      <c r="Y140" s="179" t="s">
        <v>899</v>
      </c>
      <c r="Z140" s="157" t="s">
        <v>899</v>
      </c>
      <c r="AA140" s="157" t="s">
        <v>899</v>
      </c>
      <c r="AB140" s="157" t="s">
        <v>899</v>
      </c>
      <c r="AC140" s="157" t="s">
        <v>899</v>
      </c>
      <c r="AD140" s="157" t="s">
        <v>899</v>
      </c>
      <c r="AE140" s="157" t="s">
        <v>899</v>
      </c>
      <c r="AF140" s="157" t="s">
        <v>899</v>
      </c>
      <c r="AG140" s="157" t="s">
        <v>908</v>
      </c>
      <c r="AH140" s="157">
        <v>0</v>
      </c>
      <c r="AI140" s="157" t="s">
        <v>908</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79">
        <v>0.309</v>
      </c>
      <c r="O141">
        <v>0.35499999999999998</v>
      </c>
      <c r="P141">
        <v>0.34599999999999997</v>
      </c>
      <c r="Q141" s="199">
        <v>0.315</v>
      </c>
      <c r="R141" s="165">
        <v>0.32400000000000001</v>
      </c>
      <c r="S141" s="165">
        <v>0.318</v>
      </c>
      <c r="T141" s="165">
        <v>0.373</v>
      </c>
      <c r="U141" s="198">
        <v>0.37</v>
      </c>
      <c r="V141" s="166">
        <v>0.374</v>
      </c>
      <c r="W141" s="166">
        <v>0.375</v>
      </c>
      <c r="X141" s="179">
        <v>0.34699999999999998</v>
      </c>
      <c r="Y141" s="179" t="s">
        <v>899</v>
      </c>
      <c r="Z141" s="157" t="s">
        <v>899</v>
      </c>
      <c r="AA141" s="157" t="s">
        <v>899</v>
      </c>
      <c r="AB141" s="157" t="s">
        <v>899</v>
      </c>
      <c r="AC141" s="157" t="s">
        <v>899</v>
      </c>
      <c r="AD141" s="157" t="s">
        <v>899</v>
      </c>
      <c r="AE141" s="157" t="s">
        <v>899</v>
      </c>
      <c r="AF141" s="157" t="s">
        <v>899</v>
      </c>
      <c r="AG141" s="157" t="s">
        <v>908</v>
      </c>
      <c r="AH141" s="157">
        <v>0</v>
      </c>
      <c r="AI141" s="157" t="s">
        <v>908</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79">
        <v>0.39800000000000002</v>
      </c>
      <c r="O142">
        <v>0.40100000000000002</v>
      </c>
      <c r="P142">
        <v>0.39700000000000002</v>
      </c>
      <c r="Q142" s="199">
        <v>0.38600000000000001</v>
      </c>
      <c r="R142" s="165">
        <v>0.4</v>
      </c>
      <c r="S142" s="165">
        <v>0.4</v>
      </c>
      <c r="T142" s="165">
        <v>0.41199999999999998</v>
      </c>
      <c r="U142" s="198">
        <v>0.39800000000000002</v>
      </c>
      <c r="V142" s="166">
        <v>0.41299999999999998</v>
      </c>
      <c r="W142" s="166">
        <v>0.41799999999999998</v>
      </c>
      <c r="X142" s="179">
        <v>0.38700000000000001</v>
      </c>
      <c r="Y142" s="179">
        <v>0.57599999999999996</v>
      </c>
      <c r="Z142" s="157">
        <v>0.56799999999999995</v>
      </c>
      <c r="AA142" s="157">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79">
        <v>0.48499999999999999</v>
      </c>
      <c r="O143">
        <v>0.504</v>
      </c>
      <c r="P143">
        <v>0.45600000000000002</v>
      </c>
      <c r="Q143" s="199">
        <v>0.49299999999999999</v>
      </c>
      <c r="R143" s="165">
        <v>0.49399999999999999</v>
      </c>
      <c r="S143" s="165">
        <v>0.504</v>
      </c>
      <c r="T143" s="165">
        <v>0.52200000000000002</v>
      </c>
      <c r="U143" s="198">
        <v>0.50900000000000001</v>
      </c>
      <c r="V143" s="166">
        <v>0.51700000000000002</v>
      </c>
      <c r="W143" s="166">
        <v>0.52300000000000002</v>
      </c>
      <c r="X143" s="179">
        <v>0.52400000000000002</v>
      </c>
      <c r="Y143" s="179">
        <v>0.45100000000000001</v>
      </c>
      <c r="Z143" s="157">
        <v>0.371</v>
      </c>
      <c r="AA143" s="157">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79">
        <v>0.42499999999999999</v>
      </c>
      <c r="O144">
        <v>0.46700000000000003</v>
      </c>
      <c r="P144">
        <v>0.40500000000000003</v>
      </c>
      <c r="Q144" s="199">
        <v>0.432</v>
      </c>
      <c r="R144" s="165">
        <v>0.433</v>
      </c>
      <c r="S144" s="165">
        <v>0.42099999999999999</v>
      </c>
      <c r="T144" s="165">
        <v>0.434</v>
      </c>
      <c r="U144" s="198">
        <v>0.436</v>
      </c>
      <c r="V144" s="166">
        <v>0.443</v>
      </c>
      <c r="W144" s="166">
        <v>0.44400000000000001</v>
      </c>
      <c r="X144" s="179">
        <v>0.44400000000000001</v>
      </c>
      <c r="Y144" s="179" t="s">
        <v>899</v>
      </c>
      <c r="Z144" s="157" t="s">
        <v>899</v>
      </c>
      <c r="AA144" s="157" t="s">
        <v>899</v>
      </c>
      <c r="AB144" s="157" t="s">
        <v>899</v>
      </c>
      <c r="AC144" s="157" t="s">
        <v>899</v>
      </c>
      <c r="AD144" s="157" t="s">
        <v>899</v>
      </c>
      <c r="AE144" s="157" t="s">
        <v>899</v>
      </c>
      <c r="AF144" s="157" t="s">
        <v>899</v>
      </c>
      <c r="AG144" s="157" t="s">
        <v>908</v>
      </c>
      <c r="AH144" s="157">
        <v>0</v>
      </c>
      <c r="AI144" s="157" t="s">
        <v>908</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79">
        <v>0.41799999999999998</v>
      </c>
      <c r="O145">
        <v>0.45200000000000001</v>
      </c>
      <c r="P145">
        <v>0.43</v>
      </c>
      <c r="Q145" s="199">
        <v>0.443</v>
      </c>
      <c r="R145" s="165">
        <v>0.42799999999999999</v>
      </c>
      <c r="S145" s="165">
        <v>0.47699999999999998</v>
      </c>
      <c r="T145" s="165">
        <v>0.48099999999999998</v>
      </c>
      <c r="U145" s="198">
        <v>0.47699999999999998</v>
      </c>
      <c r="V145" s="166">
        <v>0.48699999999999999</v>
      </c>
      <c r="W145" s="166">
        <v>0.505</v>
      </c>
      <c r="X145" s="179">
        <v>0.50800000000000001</v>
      </c>
      <c r="Y145" s="179" t="s">
        <v>899</v>
      </c>
      <c r="Z145" s="157" t="s">
        <v>899</v>
      </c>
      <c r="AA145" s="157" t="s">
        <v>899</v>
      </c>
      <c r="AB145" s="157" t="s">
        <v>899</v>
      </c>
      <c r="AC145" s="157" t="s">
        <v>899</v>
      </c>
      <c r="AD145" s="157" t="s">
        <v>899</v>
      </c>
      <c r="AE145" s="157" t="s">
        <v>899</v>
      </c>
      <c r="AF145" s="157" t="s">
        <v>899</v>
      </c>
      <c r="AG145" s="157" t="s">
        <v>908</v>
      </c>
      <c r="AH145" s="157">
        <v>0</v>
      </c>
      <c r="AI145" s="157" t="s">
        <v>908</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79">
        <v>0.432</v>
      </c>
      <c r="O146">
        <v>0.434</v>
      </c>
      <c r="P146">
        <v>0.43</v>
      </c>
      <c r="Q146" s="199">
        <v>0.43099999999999999</v>
      </c>
      <c r="R146" s="165">
        <v>0.438</v>
      </c>
      <c r="S146" s="165">
        <v>0.441</v>
      </c>
      <c r="T146" s="165">
        <v>0.434</v>
      </c>
      <c r="U146" s="198">
        <v>0.4</v>
      </c>
      <c r="V146" s="166">
        <v>0.36699999999999999</v>
      </c>
      <c r="W146" s="166">
        <v>0.374</v>
      </c>
      <c r="X146" s="179">
        <v>0.373</v>
      </c>
      <c r="Y146" s="179" t="s">
        <v>899</v>
      </c>
      <c r="Z146" s="157" t="s">
        <v>899</v>
      </c>
      <c r="AA146" s="157" t="s">
        <v>899</v>
      </c>
      <c r="AB146" s="157" t="s">
        <v>899</v>
      </c>
      <c r="AC146" s="157" t="s">
        <v>899</v>
      </c>
      <c r="AD146" s="157" t="s">
        <v>899</v>
      </c>
      <c r="AE146" s="157" t="s">
        <v>899</v>
      </c>
      <c r="AF146" s="157" t="s">
        <v>899</v>
      </c>
      <c r="AG146" s="157" t="s">
        <v>908</v>
      </c>
      <c r="AH146" s="157">
        <v>0</v>
      </c>
      <c r="AI146" s="157" t="s">
        <v>908</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79">
        <v>0.50600000000000001</v>
      </c>
      <c r="O147">
        <v>0.53900000000000003</v>
      </c>
      <c r="P147">
        <v>0.55500000000000005</v>
      </c>
      <c r="Q147" s="199">
        <v>0.56100000000000005</v>
      </c>
      <c r="R147" s="165">
        <v>0.52700000000000002</v>
      </c>
      <c r="S147" s="165">
        <v>0.51600000000000001</v>
      </c>
      <c r="T147" s="165">
        <v>0.49399999999999999</v>
      </c>
      <c r="U147" s="198">
        <v>0.439</v>
      </c>
      <c r="V147" s="166">
        <v>0.42199999999999999</v>
      </c>
      <c r="W147" s="166">
        <v>0.439</v>
      </c>
      <c r="X147" s="179">
        <v>0.44800000000000001</v>
      </c>
      <c r="Y147" s="179" t="s">
        <v>899</v>
      </c>
      <c r="Z147" s="157" t="s">
        <v>899</v>
      </c>
      <c r="AA147" s="157" t="s">
        <v>899</v>
      </c>
      <c r="AB147" s="157" t="s">
        <v>899</v>
      </c>
      <c r="AC147" s="157" t="s">
        <v>899</v>
      </c>
      <c r="AD147" s="157" t="s">
        <v>899</v>
      </c>
      <c r="AE147" s="157" t="s">
        <v>899</v>
      </c>
      <c r="AF147" s="157" t="s">
        <v>899</v>
      </c>
      <c r="AG147" s="157" t="s">
        <v>908</v>
      </c>
      <c r="AH147" s="157">
        <v>0</v>
      </c>
      <c r="AI147" s="157" t="s">
        <v>908</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79">
        <v>0.47699999999999998</v>
      </c>
      <c r="O148">
        <v>0.48599999999999999</v>
      </c>
      <c r="P148">
        <v>0.52500000000000002</v>
      </c>
      <c r="Q148" s="199">
        <v>0.45200000000000001</v>
      </c>
      <c r="R148" s="165">
        <v>0.44500000000000001</v>
      </c>
      <c r="S148" s="165">
        <v>0.442</v>
      </c>
      <c r="T148" s="165">
        <v>0.44500000000000001</v>
      </c>
      <c r="U148" s="199">
        <v>0.498</v>
      </c>
      <c r="V148" s="201">
        <v>0.53500000000000003</v>
      </c>
      <c r="W148" s="201">
        <v>0.53300000000000003</v>
      </c>
      <c r="X148" s="179">
        <v>0.53500000000000003</v>
      </c>
      <c r="Y148" s="179" t="s">
        <v>899</v>
      </c>
      <c r="Z148" s="157" t="s">
        <v>899</v>
      </c>
      <c r="AA148" s="157" t="s">
        <v>899</v>
      </c>
      <c r="AB148" s="157" t="s">
        <v>899</v>
      </c>
      <c r="AC148" s="157" t="s">
        <v>899</v>
      </c>
      <c r="AD148" s="157" t="s">
        <v>899</v>
      </c>
      <c r="AE148" s="157" t="s">
        <v>899</v>
      </c>
      <c r="AF148" s="157" t="s">
        <v>899</v>
      </c>
      <c r="AG148" s="157" t="s">
        <v>908</v>
      </c>
      <c r="AH148" s="157">
        <v>0</v>
      </c>
      <c r="AI148" s="157" t="s">
        <v>908</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79">
        <v>0.34799999999999998</v>
      </c>
      <c r="O149">
        <v>0.35399999999999998</v>
      </c>
      <c r="P149">
        <v>0.35</v>
      </c>
      <c r="Q149" s="199">
        <v>0.35099999999999998</v>
      </c>
      <c r="R149" s="165">
        <v>0.34499999999999997</v>
      </c>
      <c r="S149" s="165">
        <v>0.33800000000000002</v>
      </c>
      <c r="T149" s="165">
        <v>0.30099999999999999</v>
      </c>
      <c r="U149" s="199">
        <v>0.29799999999999999</v>
      </c>
      <c r="V149" s="201">
        <v>0.314</v>
      </c>
      <c r="W149" s="201">
        <v>0.315</v>
      </c>
      <c r="X149" s="179">
        <v>0.35399999999999998</v>
      </c>
      <c r="Y149" s="179" t="s">
        <v>899</v>
      </c>
      <c r="Z149" s="157" t="s">
        <v>899</v>
      </c>
      <c r="AA149" s="157" t="s">
        <v>899</v>
      </c>
      <c r="AB149" s="157" t="s">
        <v>899</v>
      </c>
      <c r="AC149" s="157" t="s">
        <v>899</v>
      </c>
      <c r="AD149" s="157" t="s">
        <v>899</v>
      </c>
      <c r="AE149" s="157" t="s">
        <v>899</v>
      </c>
      <c r="AF149" s="157" t="s">
        <v>899</v>
      </c>
      <c r="AG149" s="157" t="s">
        <v>908</v>
      </c>
      <c r="AH149" s="157">
        <v>0</v>
      </c>
      <c r="AI149" s="157" t="s">
        <v>908</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79">
        <v>0.57999999999999996</v>
      </c>
      <c r="O150">
        <v>0.56899999999999995</v>
      </c>
      <c r="P150">
        <v>0.55900000000000005</v>
      </c>
      <c r="Q150" s="199">
        <v>0.57499999999999996</v>
      </c>
      <c r="R150" s="165">
        <v>0.56899999999999995</v>
      </c>
      <c r="S150" s="165">
        <v>0.56399999999999995</v>
      </c>
      <c r="T150" s="165">
        <v>0.50800000000000001</v>
      </c>
      <c r="U150" s="198">
        <v>0.55800000000000005</v>
      </c>
      <c r="V150" s="166">
        <v>0.54600000000000004</v>
      </c>
      <c r="W150" s="166">
        <v>0.56000000000000005</v>
      </c>
      <c r="X150" s="179">
        <v>0.55200000000000005</v>
      </c>
      <c r="Y150" s="179" t="s">
        <v>899</v>
      </c>
      <c r="Z150" s="157" t="s">
        <v>899</v>
      </c>
      <c r="AA150" s="157" t="s">
        <v>899</v>
      </c>
      <c r="AB150" s="157" t="s">
        <v>899</v>
      </c>
      <c r="AC150" s="157" t="s">
        <v>899</v>
      </c>
      <c r="AD150" s="157" t="s">
        <v>899</v>
      </c>
      <c r="AE150" s="157" t="s">
        <v>899</v>
      </c>
      <c r="AF150" s="157" t="s">
        <v>899</v>
      </c>
      <c r="AG150" s="157" t="s">
        <v>908</v>
      </c>
      <c r="AH150" s="157">
        <v>0</v>
      </c>
      <c r="AI150" s="157" t="s">
        <v>908</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79">
        <v>0.35299999999999998</v>
      </c>
      <c r="O151">
        <v>0.35599999999999998</v>
      </c>
      <c r="P151">
        <v>0.35799999999999998</v>
      </c>
      <c r="Q151" s="198">
        <v>0.34499999999999997</v>
      </c>
      <c r="R151" s="196">
        <v>0.34300000000000003</v>
      </c>
      <c r="S151" s="196">
        <v>0.32500000000000001</v>
      </c>
      <c r="T151" s="196">
        <v>0.32900000000000001</v>
      </c>
      <c r="U151" s="198">
        <v>0.33300000000000002</v>
      </c>
      <c r="V151" s="166">
        <v>0.33800000000000002</v>
      </c>
      <c r="W151" s="166">
        <v>0.34499999999999997</v>
      </c>
      <c r="X151" s="179">
        <v>0.35899999999999999</v>
      </c>
      <c r="Y151" s="179" t="s">
        <v>899</v>
      </c>
      <c r="Z151" s="157" t="s">
        <v>899</v>
      </c>
      <c r="AA151" s="157" t="s">
        <v>899</v>
      </c>
      <c r="AB151" s="157" t="s">
        <v>899</v>
      </c>
      <c r="AC151" s="157" t="s">
        <v>899</v>
      </c>
      <c r="AD151" s="157" t="s">
        <v>899</v>
      </c>
      <c r="AE151" s="157" t="s">
        <v>899</v>
      </c>
      <c r="AF151" s="157" t="s">
        <v>899</v>
      </c>
      <c r="AG151" s="157" t="s">
        <v>908</v>
      </c>
      <c r="AH151" s="157">
        <v>0</v>
      </c>
      <c r="AI151" s="157" t="s">
        <v>908</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79">
        <v>0.42</v>
      </c>
      <c r="O152">
        <v>0.42499999999999999</v>
      </c>
      <c r="P152">
        <v>0.40799999999999997</v>
      </c>
      <c r="Q152" s="199">
        <v>0.41299999999999998</v>
      </c>
      <c r="R152" s="165">
        <v>0.40899999999999997</v>
      </c>
      <c r="S152" s="165">
        <v>0.40799999999999997</v>
      </c>
      <c r="T152" s="165">
        <v>0.4</v>
      </c>
      <c r="U152" s="198">
        <v>0.38</v>
      </c>
      <c r="V152" s="166">
        <v>0.371</v>
      </c>
      <c r="W152" s="166">
        <v>0.35099999999999998</v>
      </c>
      <c r="X152" s="179">
        <v>0.33</v>
      </c>
      <c r="Y152" s="179" t="s">
        <v>899</v>
      </c>
      <c r="Z152" s="157" t="s">
        <v>899</v>
      </c>
      <c r="AA152" s="157" t="s">
        <v>899</v>
      </c>
      <c r="AB152" s="157" t="s">
        <v>899</v>
      </c>
      <c r="AC152" s="157" t="s">
        <v>899</v>
      </c>
      <c r="AD152" s="157" t="s">
        <v>899</v>
      </c>
      <c r="AE152" s="157" t="s">
        <v>899</v>
      </c>
      <c r="AF152" s="157" t="s">
        <v>899</v>
      </c>
      <c r="AG152" s="157" t="s">
        <v>908</v>
      </c>
      <c r="AH152" s="157">
        <v>0</v>
      </c>
      <c r="AI152" s="157" t="s">
        <v>908</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79">
        <v>0.3</v>
      </c>
      <c r="O153">
        <v>0.31900000000000001</v>
      </c>
      <c r="P153">
        <v>0.46200000000000002</v>
      </c>
      <c r="Q153" s="199">
        <v>0.48</v>
      </c>
      <c r="R153" s="165">
        <v>0.49199999999999999</v>
      </c>
      <c r="S153" s="165">
        <v>0.45200000000000001</v>
      </c>
      <c r="T153" s="165">
        <v>0.46500000000000002</v>
      </c>
      <c r="U153" s="198">
        <v>0.53400000000000003</v>
      </c>
      <c r="V153" s="166">
        <v>0.55700000000000005</v>
      </c>
      <c r="W153" s="166">
        <v>0.55500000000000005</v>
      </c>
      <c r="X153" s="179">
        <v>0.53400000000000003</v>
      </c>
      <c r="Y153" s="179">
        <v>0.50600000000000001</v>
      </c>
      <c r="Z153" s="157">
        <v>0.44500000000000001</v>
      </c>
      <c r="AA153" s="157">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t="s">
        <v>899</v>
      </c>
      <c r="L154" t="s">
        <v>899</v>
      </c>
      <c r="M154" s="165">
        <v>776.5</v>
      </c>
      <c r="N154" t="s">
        <v>899</v>
      </c>
      <c r="O154" t="s">
        <v>899</v>
      </c>
      <c r="P154" t="s">
        <v>899</v>
      </c>
      <c r="Q154" t="s">
        <v>899</v>
      </c>
      <c r="R154" t="s">
        <v>899</v>
      </c>
      <c r="S154" t="s">
        <v>899</v>
      </c>
      <c r="T154" t="s">
        <v>899</v>
      </c>
      <c r="U154" t="s">
        <v>899</v>
      </c>
      <c r="V154" t="s">
        <v>899</v>
      </c>
      <c r="W154" t="s">
        <v>899</v>
      </c>
      <c r="X154" s="179">
        <v>0.35899999999999999</v>
      </c>
      <c r="Y154" t="s">
        <v>899</v>
      </c>
      <c r="Z154" t="s">
        <v>899</v>
      </c>
      <c r="AA154" t="s">
        <v>899</v>
      </c>
      <c r="AB154" t="s">
        <v>899</v>
      </c>
      <c r="AC154" t="s">
        <v>899</v>
      </c>
      <c r="AD154" t="s">
        <v>899</v>
      </c>
      <c r="AE154" t="s">
        <v>899</v>
      </c>
      <c r="AF154" t="s">
        <v>899</v>
      </c>
      <c r="AG154" t="s">
        <v>899</v>
      </c>
      <c r="AH154" t="s">
        <v>899</v>
      </c>
      <c r="AI154" s="157">
        <v>1E-3</v>
      </c>
      <c r="AJ154" t="s">
        <v>899</v>
      </c>
      <c r="AK154" t="s">
        <v>899</v>
      </c>
      <c r="AL154" t="s">
        <v>899</v>
      </c>
      <c r="AM154" t="s">
        <v>899</v>
      </c>
      <c r="AN154" t="s">
        <v>899</v>
      </c>
      <c r="AO154" t="s">
        <v>899</v>
      </c>
      <c r="AP154" t="s">
        <v>899</v>
      </c>
      <c r="AQ154" t="s">
        <v>899</v>
      </c>
      <c r="AR154" t="s">
        <v>899</v>
      </c>
      <c r="AS154"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79">
        <v>0.30399999999999999</v>
      </c>
      <c r="O155">
        <v>0.32200000000000001</v>
      </c>
      <c r="P155">
        <v>0.314</v>
      </c>
      <c r="Q155" s="199">
        <v>0.32700000000000001</v>
      </c>
      <c r="R155" s="165">
        <v>0.32800000000000001</v>
      </c>
      <c r="S155" s="165">
        <v>0.29399999999999998</v>
      </c>
      <c r="T155" s="165">
        <v>0.316</v>
      </c>
      <c r="U155" s="198">
        <v>0.29499999999999998</v>
      </c>
      <c r="V155" s="166">
        <v>0.28999999999999998</v>
      </c>
      <c r="W155" s="166">
        <v>0.29599999999999999</v>
      </c>
      <c r="X155" s="179">
        <v>0.313</v>
      </c>
      <c r="Y155" s="179" t="s">
        <v>899</v>
      </c>
      <c r="Z155" s="157" t="s">
        <v>899</v>
      </c>
      <c r="AA155" s="157" t="s">
        <v>899</v>
      </c>
      <c r="AB155" s="157" t="s">
        <v>899</v>
      </c>
      <c r="AC155" s="157" t="s">
        <v>899</v>
      </c>
      <c r="AD155" s="157" t="s">
        <v>899</v>
      </c>
      <c r="AE155" s="157" t="s">
        <v>899</v>
      </c>
      <c r="AF155" s="157" t="s">
        <v>899</v>
      </c>
      <c r="AG155" s="157" t="s">
        <v>908</v>
      </c>
      <c r="AH155" s="157">
        <v>0</v>
      </c>
      <c r="AI155" s="157" t="s">
        <v>908</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t="s">
        <v>899</v>
      </c>
      <c r="L156" t="s">
        <v>899</v>
      </c>
      <c r="M156" t="s">
        <v>899</v>
      </c>
      <c r="N156" t="s">
        <v>899</v>
      </c>
      <c r="O156" t="s">
        <v>899</v>
      </c>
      <c r="P156" t="s">
        <v>899</v>
      </c>
      <c r="Q156" t="s">
        <v>899</v>
      </c>
      <c r="R156" t="s">
        <v>899</v>
      </c>
      <c r="S156" t="s">
        <v>899</v>
      </c>
      <c r="T156" t="s">
        <v>899</v>
      </c>
      <c r="U156" t="s">
        <v>899</v>
      </c>
      <c r="V156" t="s">
        <v>899</v>
      </c>
      <c r="W156" t="s">
        <v>899</v>
      </c>
      <c r="X156" t="s">
        <v>899</v>
      </c>
      <c r="Y156" t="s">
        <v>899</v>
      </c>
      <c r="Z156" t="s">
        <v>899</v>
      </c>
      <c r="AA156" t="s">
        <v>899</v>
      </c>
      <c r="AB156" t="s">
        <v>899</v>
      </c>
      <c r="AC156" t="s">
        <v>899</v>
      </c>
      <c r="AD156" t="s">
        <v>899</v>
      </c>
      <c r="AE156" t="s">
        <v>899</v>
      </c>
      <c r="AF156" t="s">
        <v>899</v>
      </c>
      <c r="AG156" t="s">
        <v>899</v>
      </c>
      <c r="AH156" t="s">
        <v>899</v>
      </c>
      <c r="AI156" t="s">
        <v>899</v>
      </c>
      <c r="AJ156" t="s">
        <v>899</v>
      </c>
      <c r="AK156" t="s">
        <v>899</v>
      </c>
      <c r="AL156" t="s">
        <v>899</v>
      </c>
      <c r="AM156" t="s">
        <v>899</v>
      </c>
      <c r="AN156" t="s">
        <v>899</v>
      </c>
      <c r="AO156" t="s">
        <v>899</v>
      </c>
      <c r="AP156" t="s">
        <v>899</v>
      </c>
      <c r="AQ156" t="s">
        <v>899</v>
      </c>
      <c r="AR156" t="s">
        <v>899</v>
      </c>
      <c r="AS156" t="s">
        <v>899</v>
      </c>
      <c r="AT156"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79">
        <v>0.39</v>
      </c>
      <c r="O157">
        <v>0.41099999999999998</v>
      </c>
      <c r="P157">
        <v>0.41</v>
      </c>
      <c r="Q157" s="199">
        <v>0.436</v>
      </c>
      <c r="R157" s="165">
        <v>0.45600000000000002</v>
      </c>
      <c r="S157" s="165">
        <v>0.441</v>
      </c>
      <c r="T157" s="165">
        <v>0.46300000000000002</v>
      </c>
      <c r="U157" s="198">
        <v>0.46700000000000003</v>
      </c>
      <c r="V157" s="166">
        <v>0.47199999999999998</v>
      </c>
      <c r="W157" s="166">
        <v>0.46700000000000003</v>
      </c>
      <c r="X157" s="179">
        <v>0.44</v>
      </c>
      <c r="Y157" s="179">
        <v>0.29099999999999998</v>
      </c>
      <c r="Z157" s="157">
        <v>0.22500000000000001</v>
      </c>
      <c r="AA157" s="157">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t="s">
        <v>899</v>
      </c>
      <c r="M158" t="s">
        <v>899</v>
      </c>
      <c r="N158" s="179">
        <v>0.46800000000000003</v>
      </c>
      <c r="O158">
        <v>0.46700000000000003</v>
      </c>
      <c r="P158">
        <v>0.46300000000000002</v>
      </c>
      <c r="Q158" s="199">
        <v>0.46</v>
      </c>
      <c r="R158" s="165">
        <v>0.48299999999999998</v>
      </c>
      <c r="S158" s="165">
        <v>0.49099999999999999</v>
      </c>
      <c r="T158" s="165">
        <v>0.498</v>
      </c>
      <c r="U158" s="198">
        <v>0.48799999999999999</v>
      </c>
      <c r="V158" s="166">
        <v>0.48499999999999999</v>
      </c>
      <c r="W158" t="s">
        <v>899</v>
      </c>
      <c r="X158" t="s">
        <v>899</v>
      </c>
      <c r="Y158" s="179" t="s">
        <v>899</v>
      </c>
      <c r="Z158" s="157" t="s">
        <v>899</v>
      </c>
      <c r="AA158" s="157" t="s">
        <v>899</v>
      </c>
      <c r="AB158" s="157" t="s">
        <v>899</v>
      </c>
      <c r="AC158" s="157" t="s">
        <v>899</v>
      </c>
      <c r="AD158" s="157" t="s">
        <v>899</v>
      </c>
      <c r="AE158" s="157" t="s">
        <v>899</v>
      </c>
      <c r="AF158" s="157" t="s">
        <v>899</v>
      </c>
      <c r="AG158" s="157" t="s">
        <v>908</v>
      </c>
      <c r="AH158" t="s">
        <v>899</v>
      </c>
      <c r="AI158" t="s">
        <v>899</v>
      </c>
      <c r="AJ158" s="157">
        <v>407.1</v>
      </c>
      <c r="AK158" s="157">
        <v>394.9</v>
      </c>
      <c r="AL158" s="157">
        <v>387</v>
      </c>
      <c r="AM158" s="157">
        <v>395.6</v>
      </c>
      <c r="AN158" s="157">
        <v>408</v>
      </c>
      <c r="AO158" s="157">
        <v>408.6</v>
      </c>
      <c r="AP158" s="157">
        <v>411.6</v>
      </c>
      <c r="AQ158" s="157">
        <v>397.8</v>
      </c>
      <c r="AR158" s="157">
        <v>392.9</v>
      </c>
      <c r="AS158" t="s">
        <v>899</v>
      </c>
      <c r="AT158"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79">
        <v>0.377</v>
      </c>
      <c r="O159">
        <v>0.38200000000000001</v>
      </c>
      <c r="P159">
        <v>0.36</v>
      </c>
      <c r="Q159" s="199">
        <v>0.439</v>
      </c>
      <c r="R159" s="165">
        <v>0.41899999999999998</v>
      </c>
      <c r="S159" s="165">
        <v>0.443</v>
      </c>
      <c r="T159" s="165">
        <v>0.45700000000000002</v>
      </c>
      <c r="U159" s="198">
        <v>0.46400000000000002</v>
      </c>
      <c r="V159" s="166">
        <v>0.42099999999999999</v>
      </c>
      <c r="W159" s="166">
        <v>0.42499999999999999</v>
      </c>
      <c r="X159" s="179">
        <v>0.38</v>
      </c>
      <c r="Y159" s="179" t="s">
        <v>899</v>
      </c>
      <c r="Z159" s="157" t="s">
        <v>899</v>
      </c>
      <c r="AA159" s="157" t="s">
        <v>899</v>
      </c>
      <c r="AB159" s="157" t="s">
        <v>899</v>
      </c>
      <c r="AC159" s="157" t="s">
        <v>899</v>
      </c>
      <c r="AD159" s="157" t="s">
        <v>899</v>
      </c>
      <c r="AE159" s="157" t="s">
        <v>899</v>
      </c>
      <c r="AF159" s="157" t="s">
        <v>899</v>
      </c>
      <c r="AG159" s="157" t="s">
        <v>908</v>
      </c>
      <c r="AH159" s="157">
        <v>0</v>
      </c>
      <c r="AI159" s="157" t="s">
        <v>908</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t="s">
        <v>899</v>
      </c>
      <c r="L160" t="s">
        <v>899</v>
      </c>
      <c r="M160" t="s">
        <v>899</v>
      </c>
      <c r="N160" t="s">
        <v>899</v>
      </c>
      <c r="O160" t="s">
        <v>899</v>
      </c>
      <c r="P160" t="s">
        <v>899</v>
      </c>
      <c r="Q160" t="s">
        <v>899</v>
      </c>
      <c r="R160" t="s">
        <v>899</v>
      </c>
      <c r="S160" t="s">
        <v>899</v>
      </c>
      <c r="T160" t="s">
        <v>899</v>
      </c>
      <c r="U160" t="s">
        <v>899</v>
      </c>
      <c r="V160" t="s">
        <v>899</v>
      </c>
      <c r="W160" t="s">
        <v>899</v>
      </c>
      <c r="X160" t="s">
        <v>899</v>
      </c>
      <c r="Y160" t="s">
        <v>899</v>
      </c>
      <c r="Z160" t="s">
        <v>899</v>
      </c>
      <c r="AA160" t="s">
        <v>899</v>
      </c>
      <c r="AB160" t="s">
        <v>899</v>
      </c>
      <c r="AC160" t="s">
        <v>899</v>
      </c>
      <c r="AD160" t="s">
        <v>899</v>
      </c>
      <c r="AE160" t="s">
        <v>899</v>
      </c>
      <c r="AF160" t="s">
        <v>899</v>
      </c>
      <c r="AG160" t="s">
        <v>899</v>
      </c>
      <c r="AH160" t="s">
        <v>899</v>
      </c>
      <c r="AI160" t="s">
        <v>899</v>
      </c>
      <c r="AJ160" t="s">
        <v>899</v>
      </c>
      <c r="AK160" t="s">
        <v>899</v>
      </c>
      <c r="AL160" t="s">
        <v>899</v>
      </c>
      <c r="AM160" t="s">
        <v>899</v>
      </c>
      <c r="AN160" t="s">
        <v>899</v>
      </c>
      <c r="AO160" t="s">
        <v>899</v>
      </c>
      <c r="AP160" t="s">
        <v>899</v>
      </c>
      <c r="AQ160" t="s">
        <v>899</v>
      </c>
      <c r="AR160" t="s">
        <v>899</v>
      </c>
      <c r="AS160" t="s">
        <v>899</v>
      </c>
      <c r="AT160"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79">
        <v>0.48899999999999999</v>
      </c>
      <c r="O161">
        <v>0.49299999999999999</v>
      </c>
      <c r="P161">
        <v>0.48499999999999999</v>
      </c>
      <c r="Q161" s="199">
        <v>0.502</v>
      </c>
      <c r="R161" s="165">
        <v>0.45</v>
      </c>
      <c r="S161" s="165">
        <v>0.46600000000000003</v>
      </c>
      <c r="T161" s="165">
        <v>0.495</v>
      </c>
      <c r="U161" s="198">
        <v>0.49099999999999999</v>
      </c>
      <c r="V161" s="166">
        <v>0.48099999999999998</v>
      </c>
      <c r="W161" s="166">
        <v>0.48099999999999998</v>
      </c>
      <c r="X161" s="179">
        <v>0.49199999999999999</v>
      </c>
      <c r="Y161" s="179">
        <v>0.50800000000000001</v>
      </c>
      <c r="Z161" s="157">
        <v>0.47299999999999998</v>
      </c>
      <c r="AA161" s="157">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s="278">
        <v>626.20000000000005</v>
      </c>
      <c r="D162" s="278">
        <v>610.70000000000005</v>
      </c>
      <c r="E162" s="278">
        <v>607.6</v>
      </c>
      <c r="F162" s="278">
        <v>647.6</v>
      </c>
      <c r="G162" s="278">
        <v>683</v>
      </c>
      <c r="H162" s="278">
        <v>681.1</v>
      </c>
      <c r="I162" s="278">
        <v>638</v>
      </c>
      <c r="J162" s="278">
        <v>632.70000000000005</v>
      </c>
      <c r="K162" s="278">
        <v>643.70000000000005</v>
      </c>
      <c r="L162" s="278">
        <v>630</v>
      </c>
      <c r="M162" s="278">
        <v>669.1</v>
      </c>
      <c r="N162" s="278">
        <v>0.34</v>
      </c>
      <c r="O162" s="278">
        <v>0.34</v>
      </c>
      <c r="P162" s="278">
        <v>0.32600000000000001</v>
      </c>
      <c r="Q162" s="278">
        <v>0.309</v>
      </c>
      <c r="R162" s="278">
        <v>0.27600000000000002</v>
      </c>
      <c r="S162" s="278">
        <v>0.28499999999999998</v>
      </c>
      <c r="T162" s="278">
        <v>0.30099999999999999</v>
      </c>
      <c r="U162" s="278">
        <v>0.27200000000000002</v>
      </c>
      <c r="V162" s="278">
        <v>0.24299999999999999</v>
      </c>
      <c r="W162" s="278">
        <v>0.26700000000000002</v>
      </c>
      <c r="X162" s="278">
        <v>0.25</v>
      </c>
      <c r="Y162" s="278">
        <v>4.5999999999999999E-2</v>
      </c>
      <c r="Z162" s="278">
        <v>4.9000000000000002E-2</v>
      </c>
      <c r="AA162" s="278">
        <v>5.3999999999999999E-2</v>
      </c>
      <c r="AB162" s="278">
        <v>6.9000000000000006E-2</v>
      </c>
      <c r="AC162" s="278">
        <v>9.8000000000000004E-2</v>
      </c>
      <c r="AD162" s="278">
        <v>0.112</v>
      </c>
      <c r="AE162" s="278">
        <v>5.8999999999999997E-2</v>
      </c>
      <c r="AF162" s="278">
        <v>2.9000000000000001E-2</v>
      </c>
      <c r="AG162" s="278">
        <v>8.4000000000000005E-2</v>
      </c>
      <c r="AH162" s="278">
        <v>3.1E-2</v>
      </c>
      <c r="AI162" s="278">
        <v>0.115</v>
      </c>
      <c r="AJ162" s="278">
        <v>420.9</v>
      </c>
      <c r="AK162" s="278">
        <v>405.3</v>
      </c>
      <c r="AL162" s="278">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79">
        <v>0.312</v>
      </c>
      <c r="O163">
        <v>0.32</v>
      </c>
      <c r="P163">
        <v>0.309</v>
      </c>
      <c r="Q163" s="199">
        <v>0.33100000000000002</v>
      </c>
      <c r="R163" s="165">
        <v>0.36699999999999999</v>
      </c>
      <c r="S163" s="165">
        <v>0.35899999999999999</v>
      </c>
      <c r="T163" s="165">
        <v>0.32800000000000001</v>
      </c>
      <c r="U163" s="199">
        <v>0.30199999999999999</v>
      </c>
      <c r="V163" s="166">
        <v>0.30199999999999999</v>
      </c>
      <c r="W163" s="166">
        <v>0.307</v>
      </c>
      <c r="X163" s="179">
        <v>0.28699999999999998</v>
      </c>
      <c r="Y163" s="179" t="s">
        <v>899</v>
      </c>
      <c r="Z163" s="157" t="s">
        <v>899</v>
      </c>
      <c r="AA163" s="157" t="s">
        <v>899</v>
      </c>
      <c r="AB163" s="157" t="s">
        <v>899</v>
      </c>
      <c r="AC163" s="157" t="s">
        <v>899</v>
      </c>
      <c r="AD163" s="157" t="s">
        <v>899</v>
      </c>
      <c r="AE163" s="157" t="s">
        <v>899</v>
      </c>
      <c r="AF163" s="157" t="s">
        <v>899</v>
      </c>
      <c r="AG163" s="157" t="s">
        <v>908</v>
      </c>
      <c r="AH163" s="157">
        <v>0</v>
      </c>
      <c r="AI163" s="157" t="s">
        <v>908</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79">
        <v>0.28299999999999997</v>
      </c>
      <c r="O164">
        <v>0.27900000000000003</v>
      </c>
      <c r="P164">
        <v>0.22800000000000001</v>
      </c>
      <c r="Q164" s="199">
        <v>0.21099999999999999</v>
      </c>
      <c r="R164" s="165">
        <v>0.28299999999999997</v>
      </c>
      <c r="S164" s="165">
        <v>0.28699999999999998</v>
      </c>
      <c r="T164" s="165">
        <v>0.28799999999999998</v>
      </c>
      <c r="U164" s="199">
        <v>0.29799999999999999</v>
      </c>
      <c r="V164" s="201">
        <v>0.30099999999999999</v>
      </c>
      <c r="W164" s="201">
        <v>0.317</v>
      </c>
      <c r="X164" s="179">
        <v>0.36399999999999999</v>
      </c>
      <c r="Y164" s="179" t="s">
        <v>899</v>
      </c>
      <c r="Z164" s="157" t="s">
        <v>899</v>
      </c>
      <c r="AA164" s="157" t="s">
        <v>899</v>
      </c>
      <c r="AB164" s="157" t="s">
        <v>899</v>
      </c>
      <c r="AC164" s="157" t="s">
        <v>899</v>
      </c>
      <c r="AD164" s="157" t="s">
        <v>899</v>
      </c>
      <c r="AE164" s="157" t="s">
        <v>899</v>
      </c>
      <c r="AF164" s="157" t="s">
        <v>899</v>
      </c>
      <c r="AG164" s="157" t="s">
        <v>908</v>
      </c>
      <c r="AH164" s="157">
        <v>0</v>
      </c>
      <c r="AI164" s="157" t="s">
        <v>908</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79">
        <v>0.46100000000000002</v>
      </c>
      <c r="O165">
        <v>0.46800000000000003</v>
      </c>
      <c r="P165">
        <v>0.47599999999999998</v>
      </c>
      <c r="Q165" s="199">
        <v>0.47399999999999998</v>
      </c>
      <c r="R165" s="165">
        <v>0.47299999999999998</v>
      </c>
      <c r="S165" s="165">
        <v>0.51600000000000001</v>
      </c>
      <c r="T165" s="165">
        <v>0.45600000000000002</v>
      </c>
      <c r="U165" s="198">
        <v>0.42099999999999999</v>
      </c>
      <c r="V165" s="166">
        <v>0.44600000000000001</v>
      </c>
      <c r="W165" s="166">
        <v>0.45700000000000002</v>
      </c>
      <c r="X165" s="179">
        <v>0.44600000000000001</v>
      </c>
      <c r="Y165" s="179">
        <v>0.54200000000000004</v>
      </c>
      <c r="Z165" s="157">
        <v>0.51600000000000001</v>
      </c>
      <c r="AA165" s="157">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79">
        <v>0.38600000000000001</v>
      </c>
      <c r="O166">
        <v>0.41599999999999998</v>
      </c>
      <c r="P166">
        <v>0.40799999999999997</v>
      </c>
      <c r="Q166" s="199">
        <v>0.42499999999999999</v>
      </c>
      <c r="R166" s="165">
        <v>0.42899999999999999</v>
      </c>
      <c r="S166" s="165">
        <v>0.44500000000000001</v>
      </c>
      <c r="T166" s="165">
        <v>0.38900000000000001</v>
      </c>
      <c r="U166" s="198">
        <v>0.35599999999999998</v>
      </c>
      <c r="V166" s="166">
        <v>0.36</v>
      </c>
      <c r="W166" s="166">
        <v>0.36499999999999999</v>
      </c>
      <c r="X166" s="179">
        <v>0.38200000000000001</v>
      </c>
      <c r="Y166" s="179" t="s">
        <v>899</v>
      </c>
      <c r="Z166" s="157" t="s">
        <v>899</v>
      </c>
      <c r="AA166" s="157" t="s">
        <v>899</v>
      </c>
      <c r="AB166" s="157" t="s">
        <v>899</v>
      </c>
      <c r="AC166" s="157" t="s">
        <v>899</v>
      </c>
      <c r="AD166" s="157" t="s">
        <v>899</v>
      </c>
      <c r="AE166" s="157" t="s">
        <v>899</v>
      </c>
      <c r="AF166" s="157" t="s">
        <v>899</v>
      </c>
      <c r="AG166" s="157" t="s">
        <v>908</v>
      </c>
      <c r="AH166" s="157">
        <v>0</v>
      </c>
      <c r="AI166" s="157" t="s">
        <v>908</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79">
        <v>0.34699999999999998</v>
      </c>
      <c r="O167">
        <v>0.374</v>
      </c>
      <c r="P167">
        <v>0.40300000000000002</v>
      </c>
      <c r="Q167" s="199">
        <v>0.437</v>
      </c>
      <c r="R167" s="165">
        <v>0.42899999999999999</v>
      </c>
      <c r="S167" s="165">
        <v>0.38400000000000001</v>
      </c>
      <c r="T167" s="165">
        <v>0.379</v>
      </c>
      <c r="U167" s="198">
        <v>0.38400000000000001</v>
      </c>
      <c r="V167" s="166">
        <v>0.38700000000000001</v>
      </c>
      <c r="W167" s="166">
        <v>0.38200000000000001</v>
      </c>
      <c r="X167" s="179">
        <v>0.35099999999999998</v>
      </c>
      <c r="Y167" s="179">
        <v>0.66100000000000003</v>
      </c>
      <c r="Z167" s="157">
        <v>0.621</v>
      </c>
      <c r="AA167" s="157">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79">
        <v>0.40500000000000003</v>
      </c>
      <c r="O168">
        <v>0.41899999999999998</v>
      </c>
      <c r="P168">
        <v>0.41499999999999998</v>
      </c>
      <c r="Q168" s="199">
        <v>0.43</v>
      </c>
      <c r="R168" s="165">
        <v>0.34599999999999997</v>
      </c>
      <c r="S168" s="165">
        <v>0.41599999999999998</v>
      </c>
      <c r="T168" s="165">
        <v>0.40699999999999997</v>
      </c>
      <c r="U168" s="198">
        <v>0.35299999999999998</v>
      </c>
      <c r="V168" s="166">
        <v>0.39200000000000002</v>
      </c>
      <c r="W168" s="166">
        <v>0.42899999999999999</v>
      </c>
      <c r="X168" s="179">
        <v>0.35699999999999998</v>
      </c>
      <c r="Y168" s="179">
        <v>0.497</v>
      </c>
      <c r="Z168" s="157">
        <v>0.27100000000000002</v>
      </c>
      <c r="AA168" s="157">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79">
        <v>0.54</v>
      </c>
      <c r="O169">
        <v>0.56200000000000006</v>
      </c>
      <c r="P169">
        <v>0.55500000000000005</v>
      </c>
      <c r="Q169" s="199">
        <v>0.53</v>
      </c>
      <c r="R169" s="165">
        <v>0.505</v>
      </c>
      <c r="S169" s="165">
        <v>0.497</v>
      </c>
      <c r="T169" s="165">
        <v>0.497</v>
      </c>
      <c r="U169" s="198">
        <v>0.45800000000000002</v>
      </c>
      <c r="V169" s="166">
        <v>0.45300000000000001</v>
      </c>
      <c r="W169" s="166">
        <v>0.45500000000000002</v>
      </c>
      <c r="X169" s="179">
        <v>0.433</v>
      </c>
      <c r="Y169" s="179">
        <v>0.41899999999999998</v>
      </c>
      <c r="Z169" s="157">
        <v>0.32300000000000001</v>
      </c>
      <c r="AA169" s="157">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79">
        <v>0.23100000000000001</v>
      </c>
      <c r="O170">
        <v>0.23499999999999999</v>
      </c>
      <c r="P170">
        <v>0.223</v>
      </c>
      <c r="Q170" s="199">
        <v>0.25</v>
      </c>
      <c r="R170" s="165">
        <v>0.246</v>
      </c>
      <c r="S170" s="165">
        <v>0.215</v>
      </c>
      <c r="T170" s="165">
        <v>0.251</v>
      </c>
      <c r="U170" s="198">
        <v>0.26700000000000002</v>
      </c>
      <c r="V170" s="166">
        <v>0.39700000000000002</v>
      </c>
      <c r="W170" s="166">
        <v>0.39600000000000002</v>
      </c>
      <c r="X170" s="179">
        <v>0.39800000000000002</v>
      </c>
      <c r="Y170" s="179" t="s">
        <v>899</v>
      </c>
      <c r="Z170" s="157" t="s">
        <v>899</v>
      </c>
      <c r="AA170" s="157" t="s">
        <v>899</v>
      </c>
      <c r="AB170" s="157" t="s">
        <v>899</v>
      </c>
      <c r="AC170" s="157" t="s">
        <v>899</v>
      </c>
      <c r="AD170" s="157" t="s">
        <v>899</v>
      </c>
      <c r="AE170" s="157" t="s">
        <v>899</v>
      </c>
      <c r="AF170" s="157" t="s">
        <v>899</v>
      </c>
      <c r="AG170" s="157" t="s">
        <v>908</v>
      </c>
      <c r="AH170" s="157">
        <v>0</v>
      </c>
      <c r="AI170" s="157" t="s">
        <v>908</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s="278">
        <v>616.29999999999995</v>
      </c>
      <c r="K171" s="278">
        <v>546.20000000000005</v>
      </c>
      <c r="L171" s="165">
        <v>557.29999999999995</v>
      </c>
      <c r="M171" s="165">
        <v>544.29999999999995</v>
      </c>
      <c r="N171" s="179">
        <v>0.18099999999999999</v>
      </c>
      <c r="O171">
        <v>0.17199999999999999</v>
      </c>
      <c r="P171">
        <v>0.2</v>
      </c>
      <c r="Q171" s="199">
        <v>0.17699999999999999</v>
      </c>
      <c r="R171" s="165">
        <v>0.17100000000000001</v>
      </c>
      <c r="S171" s="278">
        <v>0.18</v>
      </c>
      <c r="T171" s="278">
        <v>0.17699999999999999</v>
      </c>
      <c r="U171" s="198">
        <v>0.218</v>
      </c>
      <c r="V171" s="166">
        <v>0.28000000000000003</v>
      </c>
      <c r="W171" s="166">
        <v>0.26600000000000001</v>
      </c>
      <c r="X171" s="179">
        <v>0.28399999999999997</v>
      </c>
      <c r="Y171" s="179">
        <v>9.7000000000000003E-2</v>
      </c>
      <c r="Z171" s="164">
        <v>9.4E-2</v>
      </c>
      <c r="AA171" s="157">
        <v>8.5999999999999993E-2</v>
      </c>
      <c r="AB171" s="278">
        <v>7.9000000000000001E-2</v>
      </c>
      <c r="AC171" s="278">
        <v>3.0000000000000001E-3</v>
      </c>
      <c r="AD171" s="157">
        <v>6.0000000000000001E-3</v>
      </c>
      <c r="AE171" s="157">
        <v>7.0000000000000001E-3</v>
      </c>
      <c r="AF171" s="157">
        <v>4.0000000000000001E-3</v>
      </c>
      <c r="AG171" s="157">
        <v>3.0000000000000001E-3</v>
      </c>
      <c r="AH171" s="157">
        <v>0</v>
      </c>
      <c r="AI171" s="157">
        <v>0</v>
      </c>
      <c r="AJ171" s="157">
        <v>419.6</v>
      </c>
      <c r="AK171" s="278">
        <v>410.1</v>
      </c>
      <c r="AL171" s="278">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79">
        <v>0.56599999999999995</v>
      </c>
      <c r="O172">
        <v>0.56599999999999995</v>
      </c>
      <c r="P172">
        <v>0.57799999999999996</v>
      </c>
      <c r="Q172" s="199">
        <v>0.58099999999999996</v>
      </c>
      <c r="R172" s="165">
        <v>0.54600000000000004</v>
      </c>
      <c r="S172" s="165">
        <v>0.50700000000000001</v>
      </c>
      <c r="T172" s="165">
        <v>0.52300000000000002</v>
      </c>
      <c r="U172" s="198">
        <v>0.504</v>
      </c>
      <c r="V172" s="166">
        <v>0.45</v>
      </c>
      <c r="W172" s="166">
        <v>0.48399999999999999</v>
      </c>
      <c r="X172" s="179">
        <v>0.45900000000000002</v>
      </c>
      <c r="Y172" s="179" t="s">
        <v>899</v>
      </c>
      <c r="Z172" s="157" t="s">
        <v>899</v>
      </c>
      <c r="AA172" s="157" t="s">
        <v>899</v>
      </c>
      <c r="AB172" s="157" t="s">
        <v>899</v>
      </c>
      <c r="AC172" s="157" t="s">
        <v>899</v>
      </c>
      <c r="AD172" s="157" t="s">
        <v>899</v>
      </c>
      <c r="AE172" s="157" t="s">
        <v>899</v>
      </c>
      <c r="AF172" s="157" t="s">
        <v>899</v>
      </c>
      <c r="AG172" s="157" t="s">
        <v>908</v>
      </c>
      <c r="AH172" s="157">
        <v>0</v>
      </c>
      <c r="AI172" s="157" t="s">
        <v>908</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79">
        <v>0.46</v>
      </c>
      <c r="O173">
        <v>0.44500000000000001</v>
      </c>
      <c r="P173">
        <v>0.441</v>
      </c>
      <c r="Q173" s="199">
        <v>0.42199999999999999</v>
      </c>
      <c r="R173" s="165">
        <v>0.40699999999999997</v>
      </c>
      <c r="S173" s="165">
        <v>0.35799999999999998</v>
      </c>
      <c r="T173" s="165">
        <v>0.36199999999999999</v>
      </c>
      <c r="U173" s="198">
        <v>0.35099999999999998</v>
      </c>
      <c r="V173" s="166">
        <v>0.33500000000000002</v>
      </c>
      <c r="W173" s="166">
        <v>0.34100000000000003</v>
      </c>
      <c r="X173" s="179">
        <v>0.34499999999999997</v>
      </c>
      <c r="Y173" s="179" t="s">
        <v>899</v>
      </c>
      <c r="Z173" s="157" t="s">
        <v>899</v>
      </c>
      <c r="AA173" s="157" t="s">
        <v>899</v>
      </c>
      <c r="AB173" s="157" t="s">
        <v>899</v>
      </c>
      <c r="AC173" s="157" t="s">
        <v>899</v>
      </c>
      <c r="AD173" s="157" t="s">
        <v>899</v>
      </c>
      <c r="AE173" s="157" t="s">
        <v>899</v>
      </c>
      <c r="AF173" s="157" t="s">
        <v>899</v>
      </c>
      <c r="AG173" s="157" t="s">
        <v>908</v>
      </c>
      <c r="AH173" s="157">
        <v>0</v>
      </c>
      <c r="AI173" s="157" t="s">
        <v>908</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s="278">
        <v>561.9</v>
      </c>
      <c r="J174">
        <v>578</v>
      </c>
      <c r="K174" s="279">
        <v>585.1</v>
      </c>
      <c r="L174" s="165">
        <v>568.20000000000005</v>
      </c>
      <c r="M174" s="165">
        <v>570.70000000000005</v>
      </c>
      <c r="N174" s="179">
        <v>0.52900000000000003</v>
      </c>
      <c r="O174">
        <v>0.52800000000000002</v>
      </c>
      <c r="P174">
        <v>0.51300000000000001</v>
      </c>
      <c r="Q174" s="199">
        <v>0.496</v>
      </c>
      <c r="R174" s="278">
        <v>0.496</v>
      </c>
      <c r="S174" s="165">
        <v>0.47</v>
      </c>
      <c r="T174" s="165">
        <v>0.46700000000000003</v>
      </c>
      <c r="U174" s="198">
        <v>0.435</v>
      </c>
      <c r="V174" s="166">
        <v>0.41899999999999998</v>
      </c>
      <c r="W174" s="166">
        <v>0.438</v>
      </c>
      <c r="X174" s="179">
        <v>0.40400000000000003</v>
      </c>
      <c r="Y174" s="179">
        <v>0.46800000000000003</v>
      </c>
      <c r="Z174" s="157">
        <v>0.46400000000000002</v>
      </c>
      <c r="AA174" s="278">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278">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79">
        <v>0.26800000000000002</v>
      </c>
      <c r="O175">
        <v>0.26200000000000001</v>
      </c>
      <c r="P175">
        <v>0.247</v>
      </c>
      <c r="Q175" s="199">
        <v>0.26700000000000002</v>
      </c>
      <c r="R175" s="165">
        <v>0.29599999999999999</v>
      </c>
      <c r="S175" s="165">
        <v>0.29199999999999998</v>
      </c>
      <c r="T175" s="165">
        <v>0.28100000000000003</v>
      </c>
      <c r="U175" s="198">
        <v>0.26600000000000001</v>
      </c>
      <c r="V175" s="166">
        <v>0.23599999999999999</v>
      </c>
      <c r="W175" s="166">
        <v>0.23599999999999999</v>
      </c>
      <c r="X175" s="179">
        <v>0.23499999999999999</v>
      </c>
      <c r="Y175" s="179" t="s">
        <v>899</v>
      </c>
      <c r="Z175" s="157" t="s">
        <v>899</v>
      </c>
      <c r="AA175" s="157" t="s">
        <v>899</v>
      </c>
      <c r="AB175" s="157" t="s">
        <v>899</v>
      </c>
      <c r="AC175" s="157" t="s">
        <v>899</v>
      </c>
      <c r="AD175" s="157" t="s">
        <v>899</v>
      </c>
      <c r="AE175" s="157" t="s">
        <v>899</v>
      </c>
      <c r="AF175" s="157" t="s">
        <v>899</v>
      </c>
      <c r="AG175" s="157" t="s">
        <v>908</v>
      </c>
      <c r="AH175" s="157">
        <v>0</v>
      </c>
      <c r="AI175" s="157" t="s">
        <v>908</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79">
        <v>0.35</v>
      </c>
      <c r="O176">
        <v>0.32500000000000001</v>
      </c>
      <c r="P176">
        <v>0.33600000000000002</v>
      </c>
      <c r="Q176" s="199">
        <v>0.33300000000000002</v>
      </c>
      <c r="R176" s="165">
        <v>0.34399999999999997</v>
      </c>
      <c r="S176" s="165">
        <v>0.33200000000000002</v>
      </c>
      <c r="T176" s="165">
        <v>0.33800000000000002</v>
      </c>
      <c r="U176" s="198">
        <v>0.33200000000000002</v>
      </c>
      <c r="V176" s="166">
        <v>0.34799999999999998</v>
      </c>
      <c r="W176" s="166">
        <v>0.36299999999999999</v>
      </c>
      <c r="X176" s="179">
        <v>0.29499999999999998</v>
      </c>
      <c r="Y176" s="179">
        <v>0.499</v>
      </c>
      <c r="Z176" s="157">
        <v>0.51400000000000001</v>
      </c>
      <c r="AA176" s="157">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79">
        <v>0.32200000000000001</v>
      </c>
      <c r="O177">
        <v>0.44600000000000001</v>
      </c>
      <c r="P177">
        <v>0.45400000000000001</v>
      </c>
      <c r="Q177" s="199">
        <v>0.46600000000000003</v>
      </c>
      <c r="R177" s="165">
        <v>0.49099999999999999</v>
      </c>
      <c r="S177" s="165">
        <v>0.47799999999999998</v>
      </c>
      <c r="T177" s="165">
        <v>0.499</v>
      </c>
      <c r="U177" s="198">
        <v>0.51100000000000001</v>
      </c>
      <c r="V177" s="166">
        <v>0.51400000000000001</v>
      </c>
      <c r="W177" s="166">
        <v>0.49199999999999999</v>
      </c>
      <c r="X177" s="179">
        <v>0.497</v>
      </c>
      <c r="Y177" s="179" t="s">
        <v>899</v>
      </c>
      <c r="Z177" s="157" t="s">
        <v>899</v>
      </c>
      <c r="AA177" s="157" t="s">
        <v>899</v>
      </c>
      <c r="AB177" s="157" t="s">
        <v>899</v>
      </c>
      <c r="AC177" s="157" t="s">
        <v>899</v>
      </c>
      <c r="AD177" s="157" t="s">
        <v>899</v>
      </c>
      <c r="AE177" s="157" t="s">
        <v>899</v>
      </c>
      <c r="AF177" s="157" t="s">
        <v>899</v>
      </c>
      <c r="AG177" s="157" t="s">
        <v>908</v>
      </c>
      <c r="AH177" s="157">
        <v>0</v>
      </c>
      <c r="AI177" s="157" t="s">
        <v>908</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79">
        <v>0.37</v>
      </c>
      <c r="O178">
        <v>0.37</v>
      </c>
      <c r="P178">
        <v>0.47</v>
      </c>
      <c r="Q178" s="199">
        <v>0.46200000000000002</v>
      </c>
      <c r="R178" s="165">
        <v>0.46100000000000002</v>
      </c>
      <c r="S178" s="165">
        <v>0.47</v>
      </c>
      <c r="T178" s="165">
        <v>0.57999999999999996</v>
      </c>
      <c r="U178" s="198">
        <v>0.59299999999999997</v>
      </c>
      <c r="V178" s="166">
        <v>0.59399999999999997</v>
      </c>
      <c r="W178" s="166">
        <v>0.58899999999999997</v>
      </c>
      <c r="X178" s="179">
        <v>0.57899999999999996</v>
      </c>
      <c r="Y178" s="179" t="s">
        <v>899</v>
      </c>
      <c r="Z178" s="157" t="s">
        <v>899</v>
      </c>
      <c r="AA178" s="157" t="s">
        <v>899</v>
      </c>
      <c r="AB178" s="157" t="s">
        <v>899</v>
      </c>
      <c r="AC178" s="157" t="s">
        <v>899</v>
      </c>
      <c r="AD178" s="157" t="s">
        <v>899</v>
      </c>
      <c r="AE178" s="157" t="s">
        <v>899</v>
      </c>
      <c r="AF178" s="157" t="s">
        <v>899</v>
      </c>
      <c r="AG178" s="157" t="s">
        <v>908</v>
      </c>
      <c r="AH178" s="157">
        <v>0</v>
      </c>
      <c r="AI178" s="157" t="s">
        <v>908</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79">
        <v>0.317</v>
      </c>
      <c r="O179">
        <v>0.313</v>
      </c>
      <c r="P179">
        <v>0.314</v>
      </c>
      <c r="Q179" s="199">
        <v>0.34399999999999997</v>
      </c>
      <c r="R179" s="165">
        <v>0.38100000000000001</v>
      </c>
      <c r="S179" s="165">
        <v>0.38300000000000001</v>
      </c>
      <c r="T179" s="165">
        <v>0.377</v>
      </c>
      <c r="U179" s="198">
        <v>0.372</v>
      </c>
      <c r="V179" s="166">
        <v>0.40500000000000003</v>
      </c>
      <c r="W179" s="166">
        <v>0.39800000000000002</v>
      </c>
      <c r="X179" s="179">
        <v>0.42299999999999999</v>
      </c>
      <c r="Y179" s="179" t="s">
        <v>899</v>
      </c>
      <c r="Z179" s="157" t="s">
        <v>899</v>
      </c>
      <c r="AA179" s="157" t="s">
        <v>899</v>
      </c>
      <c r="AB179" s="157" t="s">
        <v>899</v>
      </c>
      <c r="AC179" s="157" t="s">
        <v>899</v>
      </c>
      <c r="AD179" s="157" t="s">
        <v>899</v>
      </c>
      <c r="AE179" s="157" t="s">
        <v>899</v>
      </c>
      <c r="AF179" s="157" t="s">
        <v>899</v>
      </c>
      <c r="AG179" s="157" t="s">
        <v>908</v>
      </c>
      <c r="AH179" s="157">
        <v>0</v>
      </c>
      <c r="AI179" s="157" t="s">
        <v>908</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79">
        <v>0.25800000000000001</v>
      </c>
      <c r="O180">
        <v>0.34</v>
      </c>
      <c r="P180">
        <v>0.36799999999999999</v>
      </c>
      <c r="Q180" s="199">
        <v>0.34899999999999998</v>
      </c>
      <c r="R180" s="165">
        <v>0.32800000000000001</v>
      </c>
      <c r="S180" s="165">
        <v>0.31900000000000001</v>
      </c>
      <c r="T180" s="165">
        <v>0.36</v>
      </c>
      <c r="U180" s="198">
        <v>0.38600000000000001</v>
      </c>
      <c r="V180" s="166">
        <v>0.40100000000000002</v>
      </c>
      <c r="W180" s="166">
        <v>0.40400000000000003</v>
      </c>
      <c r="X180" s="179">
        <v>0.36599999999999999</v>
      </c>
      <c r="Y180" s="179" t="s">
        <v>899</v>
      </c>
      <c r="Z180" s="157" t="s">
        <v>899</v>
      </c>
      <c r="AA180" s="157" t="s">
        <v>899</v>
      </c>
      <c r="AB180" s="157" t="s">
        <v>899</v>
      </c>
      <c r="AC180" s="157" t="s">
        <v>899</v>
      </c>
      <c r="AD180" s="157" t="s">
        <v>899</v>
      </c>
      <c r="AE180" s="157" t="s">
        <v>899</v>
      </c>
      <c r="AF180" s="157" t="s">
        <v>899</v>
      </c>
      <c r="AG180" s="157" t="s">
        <v>908</v>
      </c>
      <c r="AH180" s="157">
        <v>0</v>
      </c>
      <c r="AI180" s="157" t="s">
        <v>908</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79">
        <v>0.40699999999999997</v>
      </c>
      <c r="O181">
        <v>0.38900000000000001</v>
      </c>
      <c r="P181">
        <v>0.36099999999999999</v>
      </c>
      <c r="Q181" s="199">
        <v>0.38100000000000001</v>
      </c>
      <c r="R181" s="165">
        <v>0.35799999999999998</v>
      </c>
      <c r="S181" s="165">
        <v>0.34499999999999997</v>
      </c>
      <c r="T181" s="165">
        <v>0.34599999999999997</v>
      </c>
      <c r="U181" s="198">
        <v>0.32600000000000001</v>
      </c>
      <c r="V181" s="166">
        <v>0.32900000000000001</v>
      </c>
      <c r="W181" s="166">
        <v>0.33600000000000002</v>
      </c>
      <c r="X181" s="179">
        <v>0.309</v>
      </c>
      <c r="Y181" s="179" t="s">
        <v>899</v>
      </c>
      <c r="Z181" s="157" t="s">
        <v>899</v>
      </c>
      <c r="AA181" s="157" t="s">
        <v>899</v>
      </c>
      <c r="AB181" s="157" t="s">
        <v>899</v>
      </c>
      <c r="AC181" s="157" t="s">
        <v>899</v>
      </c>
      <c r="AD181" s="157" t="s">
        <v>899</v>
      </c>
      <c r="AE181" s="157" t="s">
        <v>899</v>
      </c>
      <c r="AF181" s="157" t="s">
        <v>899</v>
      </c>
      <c r="AG181" s="157" t="s">
        <v>908</v>
      </c>
      <c r="AH181" s="157">
        <v>0</v>
      </c>
      <c r="AI181" s="157" t="s">
        <v>908</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79">
        <v>0.36299999999999999</v>
      </c>
      <c r="O182">
        <v>0.379</v>
      </c>
      <c r="P182">
        <v>0.41</v>
      </c>
      <c r="Q182" s="199">
        <v>0.41199999999999998</v>
      </c>
      <c r="R182" s="165">
        <v>0.46100000000000002</v>
      </c>
      <c r="S182" s="165">
        <v>0.42699999999999999</v>
      </c>
      <c r="T182" s="165">
        <v>0.42799999999999999</v>
      </c>
      <c r="U182" s="198">
        <v>0.42799999999999999</v>
      </c>
      <c r="V182" s="166">
        <v>0.42799999999999999</v>
      </c>
      <c r="W182" s="166">
        <v>0.46</v>
      </c>
      <c r="X182" s="179">
        <v>0.41799999999999998</v>
      </c>
      <c r="Y182" s="179">
        <v>0.5</v>
      </c>
      <c r="Z182" s="157">
        <v>0.24199999999999999</v>
      </c>
      <c r="AA182" s="157">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79">
        <v>0.503</v>
      </c>
      <c r="O183">
        <v>0.499</v>
      </c>
      <c r="P183">
        <v>0.44700000000000001</v>
      </c>
      <c r="Q183" s="199">
        <v>0.46600000000000003</v>
      </c>
      <c r="R183" s="165">
        <v>0.46600000000000003</v>
      </c>
      <c r="S183" s="165">
        <v>0.47599999999999998</v>
      </c>
      <c r="T183" s="165">
        <v>0.47699999999999998</v>
      </c>
      <c r="U183" s="198">
        <v>0.46</v>
      </c>
      <c r="V183" s="166">
        <v>0.44</v>
      </c>
      <c r="W183" s="166">
        <v>0.44700000000000001</v>
      </c>
      <c r="X183" s="179">
        <v>0.435</v>
      </c>
      <c r="Y183" s="179" t="s">
        <v>899</v>
      </c>
      <c r="Z183" s="157" t="s">
        <v>899</v>
      </c>
      <c r="AA183" s="157" t="s">
        <v>899</v>
      </c>
      <c r="AB183" s="157" t="s">
        <v>899</v>
      </c>
      <c r="AC183" s="157" t="s">
        <v>899</v>
      </c>
      <c r="AD183" s="157" t="s">
        <v>899</v>
      </c>
      <c r="AE183" s="157" t="s">
        <v>899</v>
      </c>
      <c r="AF183" s="157" t="s">
        <v>899</v>
      </c>
      <c r="AG183" s="157" t="s">
        <v>908</v>
      </c>
      <c r="AH183" s="157">
        <v>0</v>
      </c>
      <c r="AI183" s="157" t="s">
        <v>908</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t="s">
        <v>899</v>
      </c>
      <c r="L184" t="s">
        <v>899</v>
      </c>
      <c r="M184" t="s">
        <v>899</v>
      </c>
      <c r="N184" s="179">
        <v>0.40600000000000003</v>
      </c>
      <c r="O184">
        <v>0.42</v>
      </c>
      <c r="P184">
        <v>0.40799999999999997</v>
      </c>
      <c r="Q184" s="199">
        <v>0.41499999999999998</v>
      </c>
      <c r="R184" s="165">
        <v>0.42799999999999999</v>
      </c>
      <c r="S184" s="165">
        <v>0.42799999999999999</v>
      </c>
      <c r="T184" s="165">
        <v>0.434</v>
      </c>
      <c r="U184" t="s">
        <v>899</v>
      </c>
      <c r="V184" t="s">
        <v>899</v>
      </c>
      <c r="W184" t="s">
        <v>899</v>
      </c>
      <c r="X184" t="s">
        <v>899</v>
      </c>
      <c r="Y184" s="179" t="s">
        <v>899</v>
      </c>
      <c r="Z184" s="157" t="s">
        <v>899</v>
      </c>
      <c r="AA184" s="157" t="s">
        <v>899</v>
      </c>
      <c r="AB184" s="157" t="s">
        <v>899</v>
      </c>
      <c r="AC184" s="157" t="s">
        <v>899</v>
      </c>
      <c r="AD184" s="157" t="s">
        <v>899</v>
      </c>
      <c r="AE184" s="157" t="s">
        <v>899</v>
      </c>
      <c r="AF184" t="s">
        <v>899</v>
      </c>
      <c r="AG184" t="s">
        <v>899</v>
      </c>
      <c r="AH184" t="s">
        <v>899</v>
      </c>
      <c r="AI184" t="s">
        <v>899</v>
      </c>
      <c r="AJ184" s="157">
        <v>329.9</v>
      </c>
      <c r="AK184" s="157">
        <v>349.2</v>
      </c>
      <c r="AL184" s="157">
        <v>352.3</v>
      </c>
      <c r="AM184" s="157">
        <v>359.6</v>
      </c>
      <c r="AN184" s="157">
        <v>359.2</v>
      </c>
      <c r="AO184" s="157">
        <v>360.7</v>
      </c>
      <c r="AP184" s="157">
        <v>368.1</v>
      </c>
      <c r="AQ184" t="s">
        <v>899</v>
      </c>
      <c r="AR184" t="s">
        <v>899</v>
      </c>
      <c r="AS184" t="s">
        <v>899</v>
      </c>
      <c r="AT184" t="s">
        <v>899</v>
      </c>
    </row>
    <row r="185" spans="1:46" ht="14.7" customHeight="1">
      <c r="A185" s="183" t="s">
        <v>214</v>
      </c>
      <c r="B185" s="183"/>
      <c r="C185" s="278">
        <v>559.5</v>
      </c>
      <c r="D185" s="278">
        <v>534</v>
      </c>
      <c r="E185" s="278">
        <v>502.6</v>
      </c>
      <c r="F185" s="278">
        <v>503.7</v>
      </c>
      <c r="G185" s="278">
        <v>548.9</v>
      </c>
      <c r="H185" s="278">
        <v>578</v>
      </c>
      <c r="I185" s="278">
        <v>577.79999999999995</v>
      </c>
      <c r="J185" s="278">
        <v>532.70000000000005</v>
      </c>
      <c r="K185" s="278">
        <v>510.5</v>
      </c>
      <c r="L185" s="278">
        <v>468.8</v>
      </c>
      <c r="M185" s="278">
        <v>498.5</v>
      </c>
      <c r="N185" s="278">
        <v>0.36399999999999999</v>
      </c>
      <c r="O185" s="278">
        <v>0.373</v>
      </c>
      <c r="P185" s="278">
        <v>0.38900000000000001</v>
      </c>
      <c r="Q185" s="278">
        <v>0.38900000000000001</v>
      </c>
      <c r="R185" s="278">
        <v>0.375</v>
      </c>
      <c r="S185" s="278">
        <v>0.34799999999999998</v>
      </c>
      <c r="T185" s="278">
        <v>0.35699999999999998</v>
      </c>
      <c r="U185" s="278">
        <v>0.37</v>
      </c>
      <c r="V185" s="278">
        <v>0.38500000000000001</v>
      </c>
      <c r="W185" s="278">
        <v>0.42199999999999999</v>
      </c>
      <c r="X185" s="278">
        <v>0.40799999999999997</v>
      </c>
      <c r="Y185" s="278">
        <v>0.61699999999999999</v>
      </c>
      <c r="Z185" s="278">
        <v>0.55700000000000005</v>
      </c>
      <c r="AA185" s="278">
        <v>0.501</v>
      </c>
      <c r="AB185" s="278">
        <v>0.52400000000000002</v>
      </c>
      <c r="AC185" s="278">
        <v>0.55700000000000005</v>
      </c>
      <c r="AD185" s="278">
        <v>0.63100000000000001</v>
      </c>
      <c r="AE185" s="278">
        <v>0.56200000000000006</v>
      </c>
      <c r="AF185" s="278">
        <v>0.56799999999999995</v>
      </c>
      <c r="AG185" s="278">
        <v>0.35299999999999998</v>
      </c>
      <c r="AH185" s="278">
        <v>0.10299999999999999</v>
      </c>
      <c r="AI185" s="278">
        <v>3.1E-2</v>
      </c>
      <c r="AJ185" s="278">
        <v>353.3</v>
      </c>
      <c r="AK185" s="278">
        <v>332.2</v>
      </c>
      <c r="AL185" s="278">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79">
        <v>0.48899999999999999</v>
      </c>
      <c r="O186">
        <v>0.49099999999999999</v>
      </c>
      <c r="P186">
        <v>0.46899999999999997</v>
      </c>
      <c r="Q186" s="199">
        <v>0.46700000000000003</v>
      </c>
      <c r="R186" s="165">
        <v>0.48199999999999998</v>
      </c>
      <c r="S186" s="165">
        <v>0.50800000000000001</v>
      </c>
      <c r="T186" s="165">
        <v>0.53400000000000003</v>
      </c>
      <c r="U186" s="198">
        <v>0.51800000000000002</v>
      </c>
      <c r="V186" s="166">
        <v>0.53500000000000003</v>
      </c>
      <c r="W186" s="166">
        <v>0.53100000000000003</v>
      </c>
      <c r="X186" s="179">
        <v>0.53700000000000003</v>
      </c>
      <c r="Y186" s="179" t="s">
        <v>899</v>
      </c>
      <c r="Z186" s="157" t="s">
        <v>899</v>
      </c>
      <c r="AA186" s="157" t="s">
        <v>899</v>
      </c>
      <c r="AB186" s="157" t="s">
        <v>899</v>
      </c>
      <c r="AC186" s="157" t="s">
        <v>899</v>
      </c>
      <c r="AD186" s="157" t="s">
        <v>899</v>
      </c>
      <c r="AE186" s="157" t="s">
        <v>899</v>
      </c>
      <c r="AF186" s="157" t="s">
        <v>899</v>
      </c>
      <c r="AG186" s="157" t="s">
        <v>908</v>
      </c>
      <c r="AH186" s="157">
        <v>0</v>
      </c>
      <c r="AI186" s="157" t="s">
        <v>908</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t="s">
        <v>899</v>
      </c>
      <c r="O187" t="s">
        <v>899</v>
      </c>
      <c r="P187">
        <v>0.41</v>
      </c>
      <c r="Q187" s="199">
        <v>0.41699999999999998</v>
      </c>
      <c r="R187" s="165">
        <v>0.43099999999999999</v>
      </c>
      <c r="S187" s="165">
        <v>0.434</v>
      </c>
      <c r="T187" t="s">
        <v>899</v>
      </c>
      <c r="U187" s="198">
        <v>0.42199999999999999</v>
      </c>
      <c r="V187" s="166">
        <v>0.42399999999999999</v>
      </c>
      <c r="W187" s="166">
        <v>0.42799999999999999</v>
      </c>
      <c r="X187" s="179">
        <v>0.39500000000000002</v>
      </c>
      <c r="Y187" t="s">
        <v>899</v>
      </c>
      <c r="Z187" t="s">
        <v>899</v>
      </c>
      <c r="AA187" s="157" t="s">
        <v>899</v>
      </c>
      <c r="AB187" s="157" t="s">
        <v>899</v>
      </c>
      <c r="AC187" s="157" t="s">
        <v>899</v>
      </c>
      <c r="AD187" s="157" t="s">
        <v>899</v>
      </c>
      <c r="AE187" t="s">
        <v>899</v>
      </c>
      <c r="AF187" s="157" t="s">
        <v>899</v>
      </c>
      <c r="AG187" s="157" t="s">
        <v>908</v>
      </c>
      <c r="AH187" s="157">
        <v>0</v>
      </c>
      <c r="AI187" s="157" t="s">
        <v>908</v>
      </c>
      <c r="AJ187" t="s">
        <v>899</v>
      </c>
      <c r="AK187" t="s">
        <v>899</v>
      </c>
      <c r="AL187" s="157">
        <v>341.6</v>
      </c>
      <c r="AM187" s="157">
        <v>350.4</v>
      </c>
      <c r="AN187" s="157">
        <v>355.2</v>
      </c>
      <c r="AO187" s="157">
        <v>352.6</v>
      </c>
      <c r="AP18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79">
        <v>0.437</v>
      </c>
      <c r="O188">
        <v>0.434</v>
      </c>
      <c r="P188">
        <v>0.41</v>
      </c>
      <c r="Q188" s="199">
        <v>0.42699999999999999</v>
      </c>
      <c r="R188" s="165">
        <v>0.39500000000000002</v>
      </c>
      <c r="S188" s="165">
        <v>0.39200000000000002</v>
      </c>
      <c r="T188" s="165">
        <v>0.39600000000000002</v>
      </c>
      <c r="U188" s="198">
        <v>0.41799999999999998</v>
      </c>
      <c r="V188" s="166">
        <v>0.42399999999999999</v>
      </c>
      <c r="W188" s="166">
        <v>0.42899999999999999</v>
      </c>
      <c r="X188" s="179">
        <v>0.41699999999999998</v>
      </c>
      <c r="Y188" s="179" t="s">
        <v>899</v>
      </c>
      <c r="Z188" s="157" t="s">
        <v>899</v>
      </c>
      <c r="AA188" s="157" t="s">
        <v>899</v>
      </c>
      <c r="AB188" s="157" t="s">
        <v>899</v>
      </c>
      <c r="AC188" s="157" t="s">
        <v>899</v>
      </c>
      <c r="AD188" s="157" t="s">
        <v>899</v>
      </c>
      <c r="AE188" s="157" t="s">
        <v>899</v>
      </c>
      <c r="AF188" s="157" t="s">
        <v>899</v>
      </c>
      <c r="AG188" s="157" t="s">
        <v>908</v>
      </c>
      <c r="AH188" s="157">
        <v>0</v>
      </c>
      <c r="AI188" s="157" t="s">
        <v>908</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79">
        <v>0.23400000000000001</v>
      </c>
      <c r="O189">
        <v>0.22700000000000001</v>
      </c>
      <c r="P189">
        <v>0.215</v>
      </c>
      <c r="Q189" s="199">
        <v>0.27700000000000002</v>
      </c>
      <c r="R189" s="165">
        <v>0.36299999999999999</v>
      </c>
      <c r="S189" s="165">
        <v>0.33700000000000002</v>
      </c>
      <c r="T189" s="165">
        <v>0.33700000000000002</v>
      </c>
      <c r="U189" s="198">
        <v>0.33100000000000002</v>
      </c>
      <c r="V189" s="166">
        <v>0.33500000000000002</v>
      </c>
      <c r="W189" s="166">
        <v>0.317</v>
      </c>
      <c r="X189" s="179">
        <v>0.28599999999999998</v>
      </c>
      <c r="Y189" s="179">
        <v>0.17399999999999999</v>
      </c>
      <c r="Z189" s="157">
        <v>0.107</v>
      </c>
      <c r="AA189" s="157">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79">
        <v>0.51900000000000002</v>
      </c>
      <c r="O190">
        <v>0.53800000000000003</v>
      </c>
      <c r="P190">
        <v>0.53500000000000003</v>
      </c>
      <c r="Q190" s="199">
        <v>0.52700000000000002</v>
      </c>
      <c r="R190" s="165">
        <v>0.51800000000000002</v>
      </c>
      <c r="S190" s="165">
        <v>0.49</v>
      </c>
      <c r="T190" s="165">
        <v>0.50600000000000001</v>
      </c>
      <c r="U190" s="198">
        <v>0.51700000000000002</v>
      </c>
      <c r="V190" s="166">
        <v>0.59099999999999997</v>
      </c>
      <c r="W190" s="166">
        <v>0.56299999999999994</v>
      </c>
      <c r="X190" s="179">
        <v>0.53800000000000003</v>
      </c>
      <c r="Y190" s="179">
        <v>0.47299999999999998</v>
      </c>
      <c r="Z190" s="157">
        <v>0.38200000000000001</v>
      </c>
      <c r="AA190" s="157">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79">
        <v>0.55400000000000005</v>
      </c>
      <c r="O191">
        <v>0.57899999999999996</v>
      </c>
      <c r="P191">
        <v>0.56699999999999995</v>
      </c>
      <c r="Q191" s="199">
        <v>0.52800000000000002</v>
      </c>
      <c r="R191" s="165">
        <v>0.55600000000000005</v>
      </c>
      <c r="S191" s="165">
        <v>0.59</v>
      </c>
      <c r="T191" s="165">
        <v>0.58199999999999996</v>
      </c>
      <c r="U191" s="198">
        <v>0.57899999999999996</v>
      </c>
      <c r="V191" s="166">
        <v>0.52900000000000003</v>
      </c>
      <c r="W191" s="166">
        <v>0.54800000000000004</v>
      </c>
      <c r="X191" s="179">
        <v>0.56599999999999995</v>
      </c>
      <c r="Y191" s="179" t="s">
        <v>899</v>
      </c>
      <c r="Z191" s="157" t="s">
        <v>899</v>
      </c>
      <c r="AA191" s="157" t="s">
        <v>899</v>
      </c>
      <c r="AB191" s="157" t="s">
        <v>899</v>
      </c>
      <c r="AC191" s="157" t="s">
        <v>899</v>
      </c>
      <c r="AD191" s="157" t="s">
        <v>899</v>
      </c>
      <c r="AE191" s="157" t="s">
        <v>899</v>
      </c>
      <c r="AF191" s="157" t="s">
        <v>899</v>
      </c>
      <c r="AG191" s="157" t="s">
        <v>908</v>
      </c>
      <c r="AH191" s="157">
        <v>0</v>
      </c>
      <c r="AI191" s="157" t="s">
        <v>908</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79">
        <v>0.313</v>
      </c>
      <c r="O192">
        <v>0.30599999999999999</v>
      </c>
      <c r="P192">
        <v>0.29699999999999999</v>
      </c>
      <c r="Q192" s="199">
        <v>0.29099999999999998</v>
      </c>
      <c r="R192" s="165">
        <v>0.29799999999999999</v>
      </c>
      <c r="S192" s="165">
        <v>0.3</v>
      </c>
      <c r="T192" s="165">
        <v>0.31</v>
      </c>
      <c r="U192" s="198">
        <v>0.34100000000000003</v>
      </c>
      <c r="V192" s="166">
        <v>0.32900000000000001</v>
      </c>
      <c r="W192" s="166">
        <v>0.34100000000000003</v>
      </c>
      <c r="X192" s="179">
        <v>0.34100000000000003</v>
      </c>
      <c r="Y192" s="179" t="s">
        <v>899</v>
      </c>
      <c r="Z192" s="157" t="s">
        <v>899</v>
      </c>
      <c r="AA192" s="157" t="s">
        <v>899</v>
      </c>
      <c r="AB192" s="157" t="s">
        <v>899</v>
      </c>
      <c r="AC192" s="157" t="s">
        <v>899</v>
      </c>
      <c r="AD192" s="157" t="s">
        <v>899</v>
      </c>
      <c r="AE192" s="157" t="s">
        <v>899</v>
      </c>
      <c r="AF192" s="157" t="s">
        <v>899</v>
      </c>
      <c r="AG192" s="157" t="s">
        <v>908</v>
      </c>
      <c r="AH192" s="157">
        <v>0</v>
      </c>
      <c r="AI192" s="157" t="s">
        <v>908</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79">
        <v>0.26500000000000001</v>
      </c>
      <c r="O193">
        <v>0.25900000000000001</v>
      </c>
      <c r="P193">
        <v>0.245</v>
      </c>
      <c r="Q193" s="199">
        <v>0.26500000000000001</v>
      </c>
      <c r="R193" s="165">
        <v>0.27</v>
      </c>
      <c r="S193" s="165">
        <v>0.30299999999999999</v>
      </c>
      <c r="T193" s="165">
        <v>0.31900000000000001</v>
      </c>
      <c r="U193" s="198">
        <v>0.31900000000000001</v>
      </c>
      <c r="V193" s="166">
        <v>0.32900000000000001</v>
      </c>
      <c r="W193" s="166">
        <v>0.32500000000000001</v>
      </c>
      <c r="X193" s="179">
        <v>0.32300000000000001</v>
      </c>
      <c r="Y193" s="179" t="s">
        <v>899</v>
      </c>
      <c r="Z193" s="157" t="s">
        <v>899</v>
      </c>
      <c r="AA193" s="157" t="s">
        <v>899</v>
      </c>
      <c r="AB193" s="157" t="s">
        <v>899</v>
      </c>
      <c r="AC193" s="157" t="s">
        <v>899</v>
      </c>
      <c r="AD193" s="157" t="s">
        <v>899</v>
      </c>
      <c r="AE193" s="157" t="s">
        <v>899</v>
      </c>
      <c r="AF193" s="157" t="s">
        <v>899</v>
      </c>
      <c r="AG193" s="157" t="s">
        <v>908</v>
      </c>
      <c r="AH193" s="157">
        <v>0</v>
      </c>
      <c r="AI193" s="157" t="s">
        <v>908</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79">
        <v>0.48099999999999998</v>
      </c>
      <c r="O194">
        <v>0.503</v>
      </c>
      <c r="P194">
        <v>0.51700000000000002</v>
      </c>
      <c r="Q194" s="199">
        <v>0.50700000000000001</v>
      </c>
      <c r="R194" s="165">
        <v>0.51600000000000001</v>
      </c>
      <c r="S194" s="165">
        <v>0.504</v>
      </c>
      <c r="T194" s="165">
        <v>0.48599999999999999</v>
      </c>
      <c r="U194" s="198">
        <v>0.47</v>
      </c>
      <c r="V194" s="166">
        <v>0.47099999999999997</v>
      </c>
      <c r="W194" s="166">
        <v>0.44500000000000001</v>
      </c>
      <c r="X194" s="179">
        <v>0.42199999999999999</v>
      </c>
      <c r="Y194" s="179" t="s">
        <v>899</v>
      </c>
      <c r="Z194" s="157" t="s">
        <v>899</v>
      </c>
      <c r="AA194" s="157" t="s">
        <v>899</v>
      </c>
      <c r="AB194" s="157" t="s">
        <v>899</v>
      </c>
      <c r="AC194" s="157" t="s">
        <v>899</v>
      </c>
      <c r="AD194" s="157" t="s">
        <v>899</v>
      </c>
      <c r="AE194" s="157" t="s">
        <v>899</v>
      </c>
      <c r="AF194" s="157" t="s">
        <v>899</v>
      </c>
      <c r="AG194" s="157" t="s">
        <v>908</v>
      </c>
      <c r="AH194" s="157">
        <v>0</v>
      </c>
      <c r="AI194" s="157" t="s">
        <v>908</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79">
        <v>0.33400000000000002</v>
      </c>
      <c r="O195">
        <v>0.34100000000000003</v>
      </c>
      <c r="P195">
        <v>0.36799999999999999</v>
      </c>
      <c r="Q195" s="199">
        <v>0.41499999999999998</v>
      </c>
      <c r="R195" s="165">
        <v>0.40799999999999997</v>
      </c>
      <c r="S195" s="165">
        <v>0.38500000000000001</v>
      </c>
      <c r="T195" s="165">
        <v>0.42299999999999999</v>
      </c>
      <c r="U195" s="198">
        <v>0.38</v>
      </c>
      <c r="V195" s="166">
        <v>0.379</v>
      </c>
      <c r="W195" s="166">
        <v>0.40200000000000002</v>
      </c>
      <c r="X195" s="179">
        <v>0.40600000000000003</v>
      </c>
      <c r="Y195" s="179">
        <v>0.59899999999999998</v>
      </c>
      <c r="Z195" s="157">
        <v>0.52200000000000002</v>
      </c>
      <c r="AA195" s="157">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79">
        <v>0.14899999999999999</v>
      </c>
      <c r="O196">
        <v>0.22700000000000001</v>
      </c>
      <c r="P196">
        <v>0.21</v>
      </c>
      <c r="Q196" s="199">
        <v>0.17699999999999999</v>
      </c>
      <c r="R196" s="165">
        <v>0.17199999999999999</v>
      </c>
      <c r="S196" s="165">
        <v>0.14699999999999999</v>
      </c>
      <c r="T196" s="196">
        <v>0.14099999999999999</v>
      </c>
      <c r="U196" s="198">
        <v>0.14099999999999999</v>
      </c>
      <c r="V196" s="166">
        <v>0.16900000000000001</v>
      </c>
      <c r="W196" s="166">
        <v>0.20300000000000001</v>
      </c>
      <c r="X196" s="179">
        <v>0.20899999999999999</v>
      </c>
      <c r="Y196" s="179" t="s">
        <v>899</v>
      </c>
      <c r="Z196" s="157" t="s">
        <v>899</v>
      </c>
      <c r="AA196" s="157" t="s">
        <v>899</v>
      </c>
      <c r="AB196" s="157" t="s">
        <v>899</v>
      </c>
      <c r="AC196" s="157" t="s">
        <v>899</v>
      </c>
      <c r="AD196" s="157" t="s">
        <v>899</v>
      </c>
      <c r="AE196" s="157" t="s">
        <v>899</v>
      </c>
      <c r="AF196" s="157" t="s">
        <v>899</v>
      </c>
      <c r="AG196" s="157" t="s">
        <v>908</v>
      </c>
      <c r="AH196" s="157">
        <v>0</v>
      </c>
      <c r="AI196" s="157" t="s">
        <v>908</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79">
        <v>0.45</v>
      </c>
      <c r="O197">
        <v>0.45300000000000001</v>
      </c>
      <c r="P197">
        <v>0.44</v>
      </c>
      <c r="Q197" s="199">
        <v>0.42799999999999999</v>
      </c>
      <c r="R197" s="165">
        <v>0.432</v>
      </c>
      <c r="S197" s="165">
        <v>0.45800000000000002</v>
      </c>
      <c r="T197" s="165">
        <v>0.46700000000000003</v>
      </c>
      <c r="U197" s="198">
        <v>0.45800000000000002</v>
      </c>
      <c r="V197" s="166">
        <v>0.434</v>
      </c>
      <c r="W197" s="166">
        <v>0.44400000000000001</v>
      </c>
      <c r="X197" s="179">
        <v>0.42099999999999999</v>
      </c>
      <c r="Y197" s="179">
        <v>0.54900000000000004</v>
      </c>
      <c r="Z197" s="157">
        <v>0.54300000000000004</v>
      </c>
      <c r="AA197" s="157">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79">
        <v>0.44400000000000001</v>
      </c>
      <c r="O198">
        <v>0.44600000000000001</v>
      </c>
      <c r="P198">
        <v>0.442</v>
      </c>
      <c r="Q198" s="199">
        <v>0.44</v>
      </c>
      <c r="R198" s="165">
        <v>0.442</v>
      </c>
      <c r="S198" s="165">
        <v>0.44500000000000001</v>
      </c>
      <c r="T198" s="165">
        <v>0.44500000000000001</v>
      </c>
      <c r="U198" s="199">
        <v>0.45500000000000002</v>
      </c>
      <c r="V198" s="201">
        <v>0.45600000000000002</v>
      </c>
      <c r="W198" s="201">
        <v>0.495</v>
      </c>
      <c r="X198" s="179">
        <v>0.49399999999999999</v>
      </c>
      <c r="Y198" s="179" t="s">
        <v>899</v>
      </c>
      <c r="Z198" s="157" t="s">
        <v>899</v>
      </c>
      <c r="AA198" s="157" t="s">
        <v>899</v>
      </c>
      <c r="AB198" s="157" t="s">
        <v>899</v>
      </c>
      <c r="AC198" s="157" t="s">
        <v>899</v>
      </c>
      <c r="AD198" s="157" t="s">
        <v>899</v>
      </c>
      <c r="AE198" s="157" t="s">
        <v>899</v>
      </c>
      <c r="AF198" s="157" t="s">
        <v>899</v>
      </c>
      <c r="AG198" s="157" t="s">
        <v>908</v>
      </c>
      <c r="AH198" s="157">
        <v>0</v>
      </c>
      <c r="AI198" s="157" t="s">
        <v>908</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79">
        <v>0.42</v>
      </c>
      <c r="O199">
        <v>0.437</v>
      </c>
      <c r="P199">
        <v>0.44700000000000001</v>
      </c>
      <c r="Q199" s="198">
        <v>0.441</v>
      </c>
      <c r="R199" s="196">
        <v>0.44</v>
      </c>
      <c r="S199" s="196">
        <v>0.46200000000000002</v>
      </c>
      <c r="T199" s="196">
        <v>0.46300000000000002</v>
      </c>
      <c r="U199" s="198">
        <v>0.46600000000000003</v>
      </c>
      <c r="V199" s="166">
        <v>0.47199999999999998</v>
      </c>
      <c r="W199" s="166">
        <v>0.47</v>
      </c>
      <c r="X199" s="179">
        <v>0.39800000000000002</v>
      </c>
      <c r="Y199" s="179" t="s">
        <v>899</v>
      </c>
      <c r="Z199" s="157" t="s">
        <v>899</v>
      </c>
      <c r="AA199" s="157" t="s">
        <v>899</v>
      </c>
      <c r="AB199" s="157" t="s">
        <v>899</v>
      </c>
      <c r="AC199" s="157" t="s">
        <v>899</v>
      </c>
      <c r="AD199" s="157" t="s">
        <v>899</v>
      </c>
      <c r="AE199" s="157" t="s">
        <v>899</v>
      </c>
      <c r="AF199" s="157" t="s">
        <v>899</v>
      </c>
      <c r="AG199" s="157" t="s">
        <v>908</v>
      </c>
      <c r="AH199" s="157">
        <v>0</v>
      </c>
      <c r="AI199" s="157" t="s">
        <v>908</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79">
        <v>0.33500000000000002</v>
      </c>
      <c r="O200">
        <v>0.33500000000000002</v>
      </c>
      <c r="P200">
        <v>0.32400000000000001</v>
      </c>
      <c r="Q200" s="199">
        <v>0.315</v>
      </c>
      <c r="R200" s="165">
        <v>0.31900000000000001</v>
      </c>
      <c r="S200" s="165">
        <v>0.30299999999999999</v>
      </c>
      <c r="T200" s="165">
        <v>0.28899999999999998</v>
      </c>
      <c r="U200" s="199">
        <v>0.318</v>
      </c>
      <c r="V200" s="201">
        <v>0.35</v>
      </c>
      <c r="W200" s="201">
        <v>0.35099999999999998</v>
      </c>
      <c r="X200" s="179">
        <v>0.35499999999999998</v>
      </c>
      <c r="Y200" s="179">
        <v>0.113</v>
      </c>
      <c r="Z200" s="157">
        <v>7.9000000000000001E-2</v>
      </c>
      <c r="AA200" s="157">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79">
        <v>0.5</v>
      </c>
      <c r="O201">
        <v>0.495</v>
      </c>
      <c r="P201">
        <v>0.47299999999999998</v>
      </c>
      <c r="Q201" s="199">
        <v>0.57299999999999995</v>
      </c>
      <c r="R201" s="165">
        <v>0.58499999999999996</v>
      </c>
      <c r="S201" s="165">
        <v>0.57599999999999996</v>
      </c>
      <c r="T201" s="165">
        <v>0.58899999999999997</v>
      </c>
      <c r="U201" s="198">
        <v>0.57499999999999996</v>
      </c>
      <c r="V201" s="166">
        <v>0.56799999999999995</v>
      </c>
      <c r="W201" s="166">
        <v>0.57499999999999996</v>
      </c>
      <c r="X201" s="179">
        <v>0.55900000000000005</v>
      </c>
      <c r="Y201" s="179" t="s">
        <v>899</v>
      </c>
      <c r="Z201" s="157" t="s">
        <v>899</v>
      </c>
      <c r="AA201" s="157" t="s">
        <v>899</v>
      </c>
      <c r="AB201" s="157" t="s">
        <v>899</v>
      </c>
      <c r="AC201" s="157" t="s">
        <v>899</v>
      </c>
      <c r="AD201" s="157" t="s">
        <v>899</v>
      </c>
      <c r="AE201" s="157" t="s">
        <v>899</v>
      </c>
      <c r="AF201" s="157" t="s">
        <v>899</v>
      </c>
      <c r="AG201" s="157" t="s">
        <v>908</v>
      </c>
      <c r="AH201" s="157">
        <v>0</v>
      </c>
      <c r="AI201" s="157" t="s">
        <v>908</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79">
        <v>0.53100000000000003</v>
      </c>
      <c r="O202">
        <v>0.52600000000000002</v>
      </c>
      <c r="P202">
        <v>0.50800000000000001</v>
      </c>
      <c r="Q202" s="199">
        <v>0.47</v>
      </c>
      <c r="R202" s="165">
        <v>0.47299999999999998</v>
      </c>
      <c r="S202" s="165">
        <v>0.46</v>
      </c>
      <c r="T202" s="165">
        <v>0.46100000000000002</v>
      </c>
      <c r="U202" s="198">
        <v>0.439</v>
      </c>
      <c r="V202" s="166">
        <v>0.42699999999999999</v>
      </c>
      <c r="W202" s="166">
        <v>0.441</v>
      </c>
      <c r="X202" s="179">
        <v>0.43099999999999999</v>
      </c>
      <c r="Y202" s="179" t="s">
        <v>899</v>
      </c>
      <c r="Z202" s="157" t="s">
        <v>899</v>
      </c>
      <c r="AA202" s="157" t="s">
        <v>899</v>
      </c>
      <c r="AB202" s="157" t="s">
        <v>899</v>
      </c>
      <c r="AC202" s="157" t="s">
        <v>899</v>
      </c>
      <c r="AD202" s="157" t="s">
        <v>899</v>
      </c>
      <c r="AE202" s="157" t="s">
        <v>899</v>
      </c>
      <c r="AF202" s="157" t="s">
        <v>899</v>
      </c>
      <c r="AG202" s="157" t="s">
        <v>908</v>
      </c>
      <c r="AH202" s="157">
        <v>0</v>
      </c>
      <c r="AI202" s="157" t="s">
        <v>908</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79">
        <v>0.51800000000000002</v>
      </c>
      <c r="O203">
        <v>0.47899999999999998</v>
      </c>
      <c r="P203">
        <v>0.439</v>
      </c>
      <c r="Q203" s="199">
        <v>0.44500000000000001</v>
      </c>
      <c r="R203" s="165">
        <v>0.501</v>
      </c>
      <c r="S203" s="165">
        <v>0.48399999999999999</v>
      </c>
      <c r="T203" s="165">
        <v>0.47799999999999998</v>
      </c>
      <c r="U203" s="198">
        <v>0.48199999999999998</v>
      </c>
      <c r="V203" s="166">
        <v>0.55600000000000005</v>
      </c>
      <c r="W203" s="166">
        <v>0.54200000000000004</v>
      </c>
      <c r="X203" s="179">
        <v>0.51900000000000002</v>
      </c>
      <c r="Y203" s="179">
        <v>0.49099999999999999</v>
      </c>
      <c r="Z203" s="157">
        <v>0.50600000000000001</v>
      </c>
      <c r="AA203" s="157">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79">
        <v>0.44900000000000001</v>
      </c>
      <c r="O204">
        <v>0.42799999999999999</v>
      </c>
      <c r="P204">
        <v>0.43</v>
      </c>
      <c r="Q204" s="199">
        <v>0.40100000000000002</v>
      </c>
      <c r="R204" s="165">
        <v>0.41399999999999998</v>
      </c>
      <c r="S204" s="165">
        <v>0.41799999999999998</v>
      </c>
      <c r="T204" s="165">
        <v>0.41899999999999998</v>
      </c>
      <c r="U204" s="198">
        <v>0.41599999999999998</v>
      </c>
      <c r="V204" s="166">
        <v>0.39300000000000002</v>
      </c>
      <c r="W204" s="166">
        <v>0.40799999999999997</v>
      </c>
      <c r="X204" s="179">
        <v>0.40699999999999997</v>
      </c>
      <c r="Y204" s="179" t="s">
        <v>899</v>
      </c>
      <c r="Z204" s="157" t="s">
        <v>899</v>
      </c>
      <c r="AA204" s="157" t="s">
        <v>899</v>
      </c>
      <c r="AB204" s="157" t="s">
        <v>899</v>
      </c>
      <c r="AC204" s="157" t="s">
        <v>899</v>
      </c>
      <c r="AD204" s="157" t="s">
        <v>899</v>
      </c>
      <c r="AE204" s="157" t="s">
        <v>899</v>
      </c>
      <c r="AF204" s="157" t="s">
        <v>899</v>
      </c>
      <c r="AG204" s="157" t="s">
        <v>908</v>
      </c>
      <c r="AH204" s="157">
        <v>0</v>
      </c>
      <c r="AI204" s="157" t="s">
        <v>908</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79">
        <v>0.51200000000000001</v>
      </c>
      <c r="O205">
        <v>0.59699999999999998</v>
      </c>
      <c r="P205">
        <v>0.58399999999999996</v>
      </c>
      <c r="Q205" s="199">
        <v>0.58099999999999996</v>
      </c>
      <c r="R205" s="165">
        <v>0.60099999999999998</v>
      </c>
      <c r="S205" s="165">
        <v>0.58599999999999997</v>
      </c>
      <c r="T205" s="165">
        <v>0.56299999999999994</v>
      </c>
      <c r="U205" s="199">
        <v>0.57099999999999995</v>
      </c>
      <c r="V205" s="201">
        <v>0.58699999999999997</v>
      </c>
      <c r="W205" s="201">
        <v>0.60599999999999998</v>
      </c>
      <c r="X205" s="179">
        <v>0.60399999999999998</v>
      </c>
      <c r="Y205" s="179">
        <v>0.46500000000000002</v>
      </c>
      <c r="Z205" s="157">
        <v>0.27600000000000002</v>
      </c>
      <c r="AA205" s="157">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79">
        <v>0.36799999999999999</v>
      </c>
      <c r="O206">
        <v>0.373</v>
      </c>
      <c r="P206">
        <v>0.35599999999999998</v>
      </c>
      <c r="Q206" s="199">
        <v>0.373</v>
      </c>
      <c r="R206" s="165">
        <v>0.374</v>
      </c>
      <c r="S206" s="165">
        <v>0.36599999999999999</v>
      </c>
      <c r="T206" s="165">
        <v>0.35199999999999998</v>
      </c>
      <c r="U206" s="198">
        <v>0.33400000000000002</v>
      </c>
      <c r="V206" s="166">
        <v>0.34399999999999997</v>
      </c>
      <c r="W206" s="166">
        <v>0.36899999999999999</v>
      </c>
      <c r="X206" s="179">
        <v>0.36199999999999999</v>
      </c>
      <c r="Y206" s="179">
        <v>0.42699999999999999</v>
      </c>
      <c r="Z206" s="157">
        <v>0.495</v>
      </c>
      <c r="AA206" s="157">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79">
        <v>0.313</v>
      </c>
      <c r="O207">
        <v>0.32700000000000001</v>
      </c>
      <c r="P207">
        <v>0.33700000000000002</v>
      </c>
      <c r="Q207" s="199">
        <v>0.39800000000000002</v>
      </c>
      <c r="R207" s="165">
        <v>0.48699999999999999</v>
      </c>
      <c r="S207" s="165">
        <v>0.45700000000000002</v>
      </c>
      <c r="T207" s="165">
        <v>0.46200000000000002</v>
      </c>
      <c r="U207" s="198">
        <v>0.45400000000000001</v>
      </c>
      <c r="V207" s="166">
        <v>0.45600000000000002</v>
      </c>
      <c r="W207" s="166">
        <v>0.47899999999999998</v>
      </c>
      <c r="X207" s="179">
        <v>0.44900000000000001</v>
      </c>
      <c r="Y207" s="179" t="s">
        <v>899</v>
      </c>
      <c r="Z207" s="157" t="s">
        <v>899</v>
      </c>
      <c r="AA207" s="157" t="s">
        <v>899</v>
      </c>
      <c r="AB207" s="157" t="s">
        <v>899</v>
      </c>
      <c r="AC207" s="157" t="s">
        <v>899</v>
      </c>
      <c r="AD207" s="157" t="s">
        <v>899</v>
      </c>
      <c r="AE207" s="157" t="s">
        <v>899</v>
      </c>
      <c r="AF207" s="157" t="s">
        <v>899</v>
      </c>
      <c r="AG207" s="157" t="s">
        <v>908</v>
      </c>
      <c r="AH207" s="157">
        <v>0</v>
      </c>
      <c r="AI207" s="157" t="s">
        <v>908</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v>0.46100000000000002</v>
      </c>
      <c r="P208">
        <v>0.46500000000000002</v>
      </c>
      <c r="Q208" s="225">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908</v>
      </c>
      <c r="AH208" s="225">
        <v>0</v>
      </c>
      <c r="AI208" s="225" t="s">
        <v>908</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79">
        <v>0.45100000000000001</v>
      </c>
      <c r="O209">
        <v>0.46200000000000002</v>
      </c>
      <c r="P209">
        <v>0.45700000000000002</v>
      </c>
      <c r="Q209" s="199">
        <v>0.46899999999999997</v>
      </c>
      <c r="R209" s="165">
        <v>0.48199999999999998</v>
      </c>
      <c r="S209" s="165">
        <v>0.48099999999999998</v>
      </c>
      <c r="T209" s="165">
        <v>0.46700000000000003</v>
      </c>
      <c r="U209" s="198">
        <v>0.44800000000000001</v>
      </c>
      <c r="V209" s="166">
        <v>0.436</v>
      </c>
      <c r="W209" s="166">
        <v>0.47399999999999998</v>
      </c>
      <c r="X209" s="179">
        <v>0.434</v>
      </c>
      <c r="Y209" s="179">
        <v>0.58299999999999996</v>
      </c>
      <c r="Z209" s="157">
        <v>0.57099999999999995</v>
      </c>
      <c r="AA209" s="157">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s="278">
        <v>505.8</v>
      </c>
      <c r="D210" s="278">
        <v>492.2</v>
      </c>
      <c r="E210" s="278">
        <v>489.3</v>
      </c>
      <c r="F210" s="278">
        <v>476.2</v>
      </c>
      <c r="G210" s="278">
        <v>489.4</v>
      </c>
      <c r="H210" s="278">
        <v>497.5</v>
      </c>
      <c r="I210" s="278">
        <v>502.4</v>
      </c>
      <c r="J210" s="278">
        <v>501.5</v>
      </c>
      <c r="K210" s="278">
        <v>515.5</v>
      </c>
      <c r="L210" s="278">
        <v>489.9</v>
      </c>
      <c r="M210" s="278">
        <v>539.6</v>
      </c>
      <c r="N210" s="278">
        <v>0.38300000000000001</v>
      </c>
      <c r="O210" s="278">
        <v>0.41599999999999998</v>
      </c>
      <c r="P210" s="278">
        <v>0.443</v>
      </c>
      <c r="Q210" s="278">
        <v>0.42099999999999999</v>
      </c>
      <c r="R210" s="278">
        <v>0.41599999999999998</v>
      </c>
      <c r="S210" s="278">
        <v>0.40300000000000002</v>
      </c>
      <c r="T210" s="278">
        <v>0.41499999999999998</v>
      </c>
      <c r="U210" s="278">
        <v>0.39900000000000002</v>
      </c>
      <c r="V210" s="278">
        <v>0.39300000000000002</v>
      </c>
      <c r="W210" s="278">
        <v>0.40200000000000002</v>
      </c>
      <c r="X210" s="278">
        <v>0.373</v>
      </c>
      <c r="Y210" s="278" t="s">
        <v>899</v>
      </c>
      <c r="Z210" s="278" t="s">
        <v>899</v>
      </c>
      <c r="AA210" s="278" t="s">
        <v>899</v>
      </c>
      <c r="AB210" s="278" t="s">
        <v>899</v>
      </c>
      <c r="AC210" s="278" t="s">
        <v>899</v>
      </c>
      <c r="AD210" s="278" t="s">
        <v>899</v>
      </c>
      <c r="AE210" s="278" t="s">
        <v>899</v>
      </c>
      <c r="AF210" s="278" t="s">
        <v>899</v>
      </c>
      <c r="AG210" s="278" t="s">
        <v>908</v>
      </c>
      <c r="AH210" s="278">
        <v>0</v>
      </c>
      <c r="AI210" s="278" t="s">
        <v>908</v>
      </c>
      <c r="AJ210" s="278">
        <v>368.4</v>
      </c>
      <c r="AK210" s="278">
        <v>366.6</v>
      </c>
      <c r="AL210" s="278">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79">
        <v>0.432</v>
      </c>
      <c r="O211">
        <v>0.44500000000000001</v>
      </c>
      <c r="P211">
        <v>0.46200000000000002</v>
      </c>
      <c r="Q211" s="199">
        <v>0.45700000000000002</v>
      </c>
      <c r="R211" s="165">
        <v>0.46800000000000003</v>
      </c>
      <c r="S211" s="165">
        <v>0.46</v>
      </c>
      <c r="T211" s="165">
        <v>0.502</v>
      </c>
      <c r="U211" s="198">
        <v>0.48099999999999998</v>
      </c>
      <c r="V211" s="166">
        <v>0.47699999999999998</v>
      </c>
      <c r="W211" s="166">
        <v>0.47799999999999998</v>
      </c>
      <c r="X211" s="179">
        <v>0.46500000000000002</v>
      </c>
      <c r="Y211" s="179">
        <v>0.50900000000000001</v>
      </c>
      <c r="Z211" s="157">
        <v>0.48599999999999999</v>
      </c>
      <c r="AA211" s="157">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79">
        <v>0.39400000000000002</v>
      </c>
      <c r="O212">
        <v>0.40799999999999997</v>
      </c>
      <c r="P212">
        <v>0.40200000000000002</v>
      </c>
      <c r="Q212" s="199">
        <v>0.40200000000000002</v>
      </c>
      <c r="R212" s="165">
        <v>0.39600000000000002</v>
      </c>
      <c r="S212" s="165">
        <v>0.38100000000000001</v>
      </c>
      <c r="T212" s="165">
        <v>0.377</v>
      </c>
      <c r="U212" s="199">
        <v>0.36199999999999999</v>
      </c>
      <c r="V212" s="201">
        <v>0.35899999999999999</v>
      </c>
      <c r="W212" s="201">
        <v>0.36</v>
      </c>
      <c r="X212" s="179">
        <v>0.33400000000000002</v>
      </c>
      <c r="Y212" s="179">
        <v>0.114</v>
      </c>
      <c r="Z212" s="157">
        <v>0.35599999999999998</v>
      </c>
      <c r="AA212" s="157">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79">
        <v>0.379</v>
      </c>
      <c r="O213">
        <v>0.40600000000000003</v>
      </c>
      <c r="P213">
        <v>0.37</v>
      </c>
      <c r="Q213" s="199">
        <v>0.35099999999999998</v>
      </c>
      <c r="R213" s="165">
        <v>0.35</v>
      </c>
      <c r="S213" s="165">
        <v>0.38300000000000001</v>
      </c>
      <c r="T213" s="165">
        <v>0.38300000000000001</v>
      </c>
      <c r="U213" s="198">
        <v>0.377</v>
      </c>
      <c r="V213" s="166">
        <v>0.38300000000000001</v>
      </c>
      <c r="W213" s="166">
        <v>0.39400000000000002</v>
      </c>
      <c r="X213" s="179">
        <v>0.38300000000000001</v>
      </c>
      <c r="Y213" s="179" t="s">
        <v>899</v>
      </c>
      <c r="Z213" s="157" t="s">
        <v>899</v>
      </c>
      <c r="AA213" s="157" t="s">
        <v>899</v>
      </c>
      <c r="AB213" s="157" t="s">
        <v>899</v>
      </c>
      <c r="AC213" s="157" t="s">
        <v>899</v>
      </c>
      <c r="AD213" s="157" t="s">
        <v>899</v>
      </c>
      <c r="AE213" s="157" t="s">
        <v>899</v>
      </c>
      <c r="AF213" s="157" t="s">
        <v>899</v>
      </c>
      <c r="AG213" s="157" t="s">
        <v>908</v>
      </c>
      <c r="AH213" s="157">
        <v>0</v>
      </c>
      <c r="AI213" s="157" t="s">
        <v>908</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79">
        <v>0.35599999999999998</v>
      </c>
      <c r="O214">
        <v>0.33100000000000002</v>
      </c>
      <c r="P214">
        <v>0.316</v>
      </c>
      <c r="Q214" s="199">
        <v>0.32900000000000001</v>
      </c>
      <c r="R214" s="165">
        <v>0.32900000000000001</v>
      </c>
      <c r="S214" s="165">
        <v>0.30599999999999999</v>
      </c>
      <c r="T214" s="165">
        <v>0.29799999999999999</v>
      </c>
      <c r="U214" s="198">
        <v>0.29899999999999999</v>
      </c>
      <c r="V214" s="166">
        <v>0.26500000000000001</v>
      </c>
      <c r="W214" s="166">
        <v>0.26200000000000001</v>
      </c>
      <c r="X214" s="179">
        <v>0.23899999999999999</v>
      </c>
      <c r="Y214" s="179">
        <v>0.14099999999999999</v>
      </c>
      <c r="Z214" s="157">
        <v>0.14799999999999999</v>
      </c>
      <c r="AA214" s="157">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79">
        <v>0.434</v>
      </c>
      <c r="O215">
        <v>0.42799999999999999</v>
      </c>
      <c r="P215">
        <v>0.42699999999999999</v>
      </c>
      <c r="Q215" s="199">
        <v>0.433</v>
      </c>
      <c r="R215" s="165">
        <v>0.42799999999999999</v>
      </c>
      <c r="S215" s="165">
        <v>0.42499999999999999</v>
      </c>
      <c r="T215" s="165">
        <v>0.442</v>
      </c>
      <c r="U215" s="199">
        <v>0.437</v>
      </c>
      <c r="V215" s="201">
        <v>0.432</v>
      </c>
      <c r="W215" s="201">
        <v>0.42899999999999999</v>
      </c>
      <c r="X215" s="179">
        <v>0.40400000000000003</v>
      </c>
      <c r="Y215" s="179">
        <v>0.39900000000000002</v>
      </c>
      <c r="Z215" s="157">
        <v>0.38800000000000001</v>
      </c>
      <c r="AA215" s="157">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79">
        <v>0.32700000000000001</v>
      </c>
      <c r="O216">
        <v>0.36</v>
      </c>
      <c r="P216">
        <v>0.44900000000000001</v>
      </c>
      <c r="Q216" s="199">
        <v>0.45</v>
      </c>
      <c r="R216" s="165">
        <v>0.44900000000000001</v>
      </c>
      <c r="S216" s="165">
        <v>0.436</v>
      </c>
      <c r="T216" s="165">
        <v>0.438</v>
      </c>
      <c r="U216" s="198">
        <v>0.42899999999999999</v>
      </c>
      <c r="V216" s="166">
        <v>0.434</v>
      </c>
      <c r="W216" s="166">
        <v>0.38</v>
      </c>
      <c r="X216" s="179">
        <v>0.38200000000000001</v>
      </c>
      <c r="Y216" s="179" t="s">
        <v>899</v>
      </c>
      <c r="Z216" s="157" t="s">
        <v>899</v>
      </c>
      <c r="AA216" s="157" t="s">
        <v>899</v>
      </c>
      <c r="AB216" s="157" t="s">
        <v>899</v>
      </c>
      <c r="AC216" s="157" t="s">
        <v>899</v>
      </c>
      <c r="AD216" s="157" t="s">
        <v>899</v>
      </c>
      <c r="AE216" s="157" t="s">
        <v>899</v>
      </c>
      <c r="AF216" s="157" t="s">
        <v>899</v>
      </c>
      <c r="AG216" s="157" t="s">
        <v>908</v>
      </c>
      <c r="AH216" s="157">
        <v>0</v>
      </c>
      <c r="AI216" s="157" t="s">
        <v>908</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79">
        <v>0.45300000000000001</v>
      </c>
      <c r="O217">
        <v>0.51100000000000001</v>
      </c>
      <c r="P217">
        <v>0.52700000000000002</v>
      </c>
      <c r="Q217" s="199">
        <v>0.503</v>
      </c>
      <c r="R217" s="165">
        <v>0.48799999999999999</v>
      </c>
      <c r="S217" s="165">
        <v>0.48599999999999999</v>
      </c>
      <c r="T217" s="165">
        <v>0.48299999999999998</v>
      </c>
      <c r="U217" s="198">
        <v>0.45100000000000001</v>
      </c>
      <c r="V217" s="166">
        <v>0.434</v>
      </c>
      <c r="W217" s="166">
        <v>0.443</v>
      </c>
      <c r="X217" s="179">
        <v>0.44700000000000001</v>
      </c>
      <c r="Y217" s="179" t="s">
        <v>899</v>
      </c>
      <c r="Z217" s="157" t="s">
        <v>899</v>
      </c>
      <c r="AA217" s="157" t="s">
        <v>899</v>
      </c>
      <c r="AB217" s="157" t="s">
        <v>899</v>
      </c>
      <c r="AC217" s="157" t="s">
        <v>899</v>
      </c>
      <c r="AD217" s="157" t="s">
        <v>899</v>
      </c>
      <c r="AE217" s="157" t="s">
        <v>899</v>
      </c>
      <c r="AF217" s="157" t="s">
        <v>899</v>
      </c>
      <c r="AG217" s="157" t="s">
        <v>908</v>
      </c>
      <c r="AH217" s="157">
        <v>0</v>
      </c>
      <c r="AI217" s="157" t="s">
        <v>908</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79">
        <v>0.38900000000000001</v>
      </c>
      <c r="O218">
        <v>0.39200000000000002</v>
      </c>
      <c r="P218">
        <v>0.36</v>
      </c>
      <c r="Q218" s="199">
        <v>0.35799999999999998</v>
      </c>
      <c r="R218" s="165">
        <v>0.37</v>
      </c>
      <c r="S218" s="165">
        <v>0.36599999999999999</v>
      </c>
      <c r="T218" s="165">
        <v>0.39700000000000002</v>
      </c>
      <c r="U218" s="198">
        <v>0.42099999999999999</v>
      </c>
      <c r="V218" s="166">
        <v>0.4</v>
      </c>
      <c r="W218" s="166">
        <v>0.42199999999999999</v>
      </c>
      <c r="X218" s="179">
        <v>0.36699999999999999</v>
      </c>
      <c r="Y218" s="179" t="s">
        <v>899</v>
      </c>
      <c r="Z218" s="157" t="s">
        <v>899</v>
      </c>
      <c r="AA218" s="157" t="s">
        <v>899</v>
      </c>
      <c r="AB218" s="157" t="s">
        <v>899</v>
      </c>
      <c r="AC218" s="157" t="s">
        <v>899</v>
      </c>
      <c r="AD218" s="157" t="s">
        <v>899</v>
      </c>
      <c r="AE218" s="157" t="s">
        <v>899</v>
      </c>
      <c r="AF218" s="157" t="s">
        <v>899</v>
      </c>
      <c r="AG218" s="157" t="s">
        <v>908</v>
      </c>
      <c r="AH218" s="157">
        <v>0</v>
      </c>
      <c r="AI218" s="157" t="s">
        <v>908</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79">
        <v>0.432</v>
      </c>
      <c r="O219">
        <v>0.44400000000000001</v>
      </c>
      <c r="P219">
        <v>0.44800000000000001</v>
      </c>
      <c r="Q219" s="199">
        <v>0.44400000000000001</v>
      </c>
      <c r="R219" s="165">
        <v>0.45800000000000002</v>
      </c>
      <c r="S219" s="165">
        <v>0.45100000000000001</v>
      </c>
      <c r="T219" s="165">
        <v>0.49</v>
      </c>
      <c r="U219" s="198">
        <v>0.50800000000000001</v>
      </c>
      <c r="V219" s="166">
        <v>0.51900000000000002</v>
      </c>
      <c r="W219" s="166">
        <v>0.52600000000000002</v>
      </c>
      <c r="X219" s="179">
        <v>0.52100000000000002</v>
      </c>
      <c r="Y219" s="179" t="s">
        <v>899</v>
      </c>
      <c r="Z219" s="157" t="s">
        <v>899</v>
      </c>
      <c r="AA219" s="157" t="s">
        <v>899</v>
      </c>
      <c r="AB219" s="157" t="s">
        <v>899</v>
      </c>
      <c r="AC219" s="157" t="s">
        <v>899</v>
      </c>
      <c r="AD219" s="157" t="s">
        <v>899</v>
      </c>
      <c r="AE219" s="157" t="s">
        <v>899</v>
      </c>
      <c r="AF219" s="157" t="s">
        <v>899</v>
      </c>
      <c r="AG219" s="157" t="s">
        <v>908</v>
      </c>
      <c r="AH219" s="157">
        <v>0</v>
      </c>
      <c r="AI219" s="157" t="s">
        <v>908</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79">
        <v>0.54400000000000004</v>
      </c>
      <c r="O220">
        <v>0.59599999999999997</v>
      </c>
      <c r="P220">
        <v>0.59799999999999998</v>
      </c>
      <c r="Q220" s="199">
        <v>0.59199999999999997</v>
      </c>
      <c r="R220" s="165">
        <v>0.60499999999999998</v>
      </c>
      <c r="S220" s="165">
        <v>0.58499999999999996</v>
      </c>
      <c r="T220" s="165">
        <v>0.57699999999999996</v>
      </c>
      <c r="U220" s="199">
        <v>0.57199999999999995</v>
      </c>
      <c r="V220" s="201">
        <v>0.58199999999999996</v>
      </c>
      <c r="W220" s="201">
        <v>0.58799999999999997</v>
      </c>
      <c r="X220" s="179">
        <v>0.59499999999999997</v>
      </c>
      <c r="Y220" s="179">
        <v>0.46300000000000002</v>
      </c>
      <c r="Z220" s="157">
        <v>0.41599999999999998</v>
      </c>
      <c r="AA220" s="157">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79">
        <v>0.38400000000000001</v>
      </c>
      <c r="O221">
        <v>0.376</v>
      </c>
      <c r="P221">
        <v>0.35899999999999999</v>
      </c>
      <c r="Q221" s="199">
        <v>0.36699999999999999</v>
      </c>
      <c r="R221" s="165">
        <v>0.34200000000000003</v>
      </c>
      <c r="S221" s="165">
        <v>0.36499999999999999</v>
      </c>
      <c r="T221" s="165">
        <v>0.34100000000000003</v>
      </c>
      <c r="U221" s="198">
        <v>0.31900000000000001</v>
      </c>
      <c r="V221" s="166">
        <v>0.313</v>
      </c>
      <c r="W221" s="166">
        <v>0.32500000000000001</v>
      </c>
      <c r="X221" s="179">
        <v>0.32500000000000001</v>
      </c>
      <c r="Y221" s="179" t="s">
        <v>899</v>
      </c>
      <c r="Z221" s="157" t="s">
        <v>899</v>
      </c>
      <c r="AA221" s="157" t="s">
        <v>899</v>
      </c>
      <c r="AB221" s="157" t="s">
        <v>899</v>
      </c>
      <c r="AC221" s="157" t="s">
        <v>899</v>
      </c>
      <c r="AD221" s="157" t="s">
        <v>899</v>
      </c>
      <c r="AE221" s="157" t="s">
        <v>899</v>
      </c>
      <c r="AF221" s="157" t="s">
        <v>899</v>
      </c>
      <c r="AG221" s="157" t="s">
        <v>908</v>
      </c>
      <c r="AH221" s="157">
        <v>0</v>
      </c>
      <c r="AI221" s="157" t="s">
        <v>908</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79">
        <v>0.44500000000000001</v>
      </c>
      <c r="O222">
        <v>0.45</v>
      </c>
      <c r="P222">
        <v>0.48</v>
      </c>
      <c r="Q222" s="199">
        <v>0.50800000000000001</v>
      </c>
      <c r="R222" s="165">
        <v>0.46600000000000003</v>
      </c>
      <c r="S222" s="165">
        <v>0.44</v>
      </c>
      <c r="T222" s="165">
        <v>0.41899999999999998</v>
      </c>
      <c r="U222" s="198">
        <v>0.433</v>
      </c>
      <c r="V222" s="166">
        <v>0.43099999999999999</v>
      </c>
      <c r="W222" s="166">
        <v>0.433</v>
      </c>
      <c r="X222" s="179">
        <v>0.40899999999999997</v>
      </c>
      <c r="Y222" s="179">
        <v>0.55000000000000004</v>
      </c>
      <c r="Z222" s="157">
        <v>0.51</v>
      </c>
      <c r="AA222" s="157">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79">
        <v>0.32900000000000001</v>
      </c>
      <c r="O223">
        <v>0.318</v>
      </c>
      <c r="P223">
        <v>0.32800000000000001</v>
      </c>
      <c r="Q223" s="199">
        <v>0.33700000000000002</v>
      </c>
      <c r="R223" s="165">
        <v>0.35299999999999998</v>
      </c>
      <c r="S223" s="165">
        <v>0.33</v>
      </c>
      <c r="T223" s="165">
        <v>0.32</v>
      </c>
      <c r="U223" s="198">
        <v>0.33700000000000002</v>
      </c>
      <c r="V223" s="166">
        <v>0.35299999999999998</v>
      </c>
      <c r="W223" s="166">
        <v>0.34100000000000003</v>
      </c>
      <c r="X223" s="179">
        <v>0.30599999999999999</v>
      </c>
      <c r="Y223" s="179">
        <v>0.61399999999999999</v>
      </c>
      <c r="Z223" s="157">
        <v>0.63</v>
      </c>
      <c r="AA223" s="157">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79">
        <v>0.24399999999999999</v>
      </c>
      <c r="O224">
        <v>0.24299999999999999</v>
      </c>
      <c r="P224">
        <v>0.22800000000000001</v>
      </c>
      <c r="Q224" s="199">
        <v>0.222</v>
      </c>
      <c r="R224" s="165">
        <v>0.22700000000000001</v>
      </c>
      <c r="S224" s="165">
        <v>0.23400000000000001</v>
      </c>
      <c r="T224" s="165">
        <v>0.247</v>
      </c>
      <c r="U224" s="198">
        <v>0.248</v>
      </c>
      <c r="V224" s="166">
        <v>0.255</v>
      </c>
      <c r="W224" s="166">
        <v>0.26700000000000002</v>
      </c>
      <c r="X224" s="179">
        <v>0.247</v>
      </c>
      <c r="Y224" s="179">
        <v>0.10299999999999999</v>
      </c>
      <c r="Z224" s="157">
        <v>0.104</v>
      </c>
      <c r="AA224" s="157">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79">
        <v>0.33200000000000002</v>
      </c>
      <c r="O225">
        <v>0.34499999999999997</v>
      </c>
      <c r="P225">
        <v>0.34699999999999998</v>
      </c>
      <c r="Q225" s="199">
        <v>0.38100000000000001</v>
      </c>
      <c r="R225" s="165">
        <v>0.39600000000000002</v>
      </c>
      <c r="S225" s="165">
        <v>0.38100000000000001</v>
      </c>
      <c r="T225" s="165">
        <v>0.314</v>
      </c>
      <c r="U225" s="198">
        <v>0.29799999999999999</v>
      </c>
      <c r="V225" s="166">
        <v>0.315</v>
      </c>
      <c r="W225" s="166">
        <v>0.312</v>
      </c>
      <c r="X225" s="179">
        <v>0.31900000000000001</v>
      </c>
      <c r="Y225" s="179" t="s">
        <v>899</v>
      </c>
      <c r="Z225" s="157" t="s">
        <v>899</v>
      </c>
      <c r="AA225" s="157" t="s">
        <v>899</v>
      </c>
      <c r="AB225" s="157" t="s">
        <v>899</v>
      </c>
      <c r="AC225" s="157" t="s">
        <v>899</v>
      </c>
      <c r="AD225" s="157" t="s">
        <v>899</v>
      </c>
      <c r="AE225" s="157" t="s">
        <v>899</v>
      </c>
      <c r="AF225" s="157" t="s">
        <v>899</v>
      </c>
      <c r="AG225" s="157" t="s">
        <v>908</v>
      </c>
      <c r="AH225" s="157">
        <v>0</v>
      </c>
      <c r="AI225" s="157" t="s">
        <v>908</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79">
        <v>0.34899999999999998</v>
      </c>
      <c r="O226">
        <v>0.36799999999999999</v>
      </c>
      <c r="P226">
        <v>0.36099999999999999</v>
      </c>
      <c r="Q226" s="199">
        <v>0.34399999999999997</v>
      </c>
      <c r="R226" s="165">
        <v>0.37</v>
      </c>
      <c r="S226" s="165">
        <v>0.32100000000000001</v>
      </c>
      <c r="T226" s="165">
        <v>0.32100000000000001</v>
      </c>
      <c r="U226" s="198">
        <v>0.307</v>
      </c>
      <c r="V226" s="166">
        <v>0.31900000000000001</v>
      </c>
      <c r="W226" s="166">
        <v>0.35299999999999998</v>
      </c>
      <c r="X226" s="179">
        <v>0.36099999999999999</v>
      </c>
      <c r="Y226" s="179">
        <v>0.28599999999999998</v>
      </c>
      <c r="Z226" s="157">
        <v>0.23899999999999999</v>
      </c>
      <c r="AA226" s="157">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79">
        <v>0.27600000000000002</v>
      </c>
      <c r="O227">
        <v>0.32500000000000001</v>
      </c>
      <c r="P227">
        <v>0.29399999999999998</v>
      </c>
      <c r="Q227" s="199">
        <v>0.29299999999999998</v>
      </c>
      <c r="R227" s="165">
        <v>0.28699999999999998</v>
      </c>
      <c r="S227" s="165">
        <v>0.27700000000000002</v>
      </c>
      <c r="T227" s="165">
        <v>0.26700000000000002</v>
      </c>
      <c r="U227" s="199">
        <v>0.23899999999999999</v>
      </c>
      <c r="V227" s="201">
        <v>0.249</v>
      </c>
      <c r="W227" s="201">
        <v>0.254</v>
      </c>
      <c r="X227" s="179">
        <v>0.254</v>
      </c>
      <c r="Y227" s="179" t="s">
        <v>899</v>
      </c>
      <c r="Z227" s="157" t="s">
        <v>899</v>
      </c>
      <c r="AA227" s="157" t="s">
        <v>899</v>
      </c>
      <c r="AB227" s="157" t="s">
        <v>899</v>
      </c>
      <c r="AC227" s="157" t="s">
        <v>899</v>
      </c>
      <c r="AD227" s="157" t="s">
        <v>899</v>
      </c>
      <c r="AE227" s="157" t="s">
        <v>899</v>
      </c>
      <c r="AF227" s="157" t="s">
        <v>899</v>
      </c>
      <c r="AG227" s="157" t="s">
        <v>908</v>
      </c>
      <c r="AH227" s="157">
        <v>0</v>
      </c>
      <c r="AI227" s="157" t="s">
        <v>908</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79">
        <v>0.41499999999999998</v>
      </c>
      <c r="O228">
        <v>0.40500000000000003</v>
      </c>
      <c r="P228">
        <v>0.379</v>
      </c>
      <c r="Q228" s="199">
        <v>0.46700000000000003</v>
      </c>
      <c r="R228" s="165">
        <v>0.47399999999999998</v>
      </c>
      <c r="S228" s="165">
        <v>0.39200000000000002</v>
      </c>
      <c r="T228" s="165">
        <v>0.42599999999999999</v>
      </c>
      <c r="U228" s="198">
        <v>0.39900000000000002</v>
      </c>
      <c r="V228" s="166">
        <v>0.38500000000000001</v>
      </c>
      <c r="W228" s="166">
        <v>0.40300000000000002</v>
      </c>
      <c r="X228" s="179">
        <v>0.373</v>
      </c>
      <c r="Y228" s="179">
        <v>0.12</v>
      </c>
      <c r="Z228" s="157">
        <v>1.9E-2</v>
      </c>
      <c r="AA228" s="157">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79">
        <v>0.28599999999999998</v>
      </c>
      <c r="O229">
        <v>0.28599999999999998</v>
      </c>
      <c r="P229">
        <v>0.29299999999999998</v>
      </c>
      <c r="Q229" s="199">
        <v>0.28999999999999998</v>
      </c>
      <c r="R229" s="165">
        <v>0.30099999999999999</v>
      </c>
      <c r="S229" s="165">
        <v>0.315</v>
      </c>
      <c r="T229" s="165">
        <v>0.31</v>
      </c>
      <c r="U229" s="199">
        <v>0.29699999999999999</v>
      </c>
      <c r="V229" s="201">
        <v>0.30299999999999999</v>
      </c>
      <c r="W229" s="201">
        <v>0.28899999999999998</v>
      </c>
      <c r="X229" s="179">
        <v>0.27500000000000002</v>
      </c>
      <c r="Y229" s="179" t="s">
        <v>899</v>
      </c>
      <c r="Z229" s="157" t="s">
        <v>899</v>
      </c>
      <c r="AA229" s="157" t="s">
        <v>899</v>
      </c>
      <c r="AB229" s="157" t="s">
        <v>899</v>
      </c>
      <c r="AC229" s="157" t="s">
        <v>899</v>
      </c>
      <c r="AD229" s="157" t="s">
        <v>899</v>
      </c>
      <c r="AE229" s="157" t="s">
        <v>899</v>
      </c>
      <c r="AF229" s="157" t="s">
        <v>899</v>
      </c>
      <c r="AG229" s="157" t="s">
        <v>908</v>
      </c>
      <c r="AH229" s="157">
        <v>0</v>
      </c>
      <c r="AI229" s="157" t="s">
        <v>908</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79">
        <v>0.33300000000000002</v>
      </c>
      <c r="O230">
        <v>0.378</v>
      </c>
      <c r="P230">
        <v>0.45500000000000002</v>
      </c>
      <c r="Q230" s="199">
        <v>0.52</v>
      </c>
      <c r="R230" s="165">
        <v>0.52600000000000002</v>
      </c>
      <c r="S230" s="165">
        <v>0.48799999999999999</v>
      </c>
      <c r="T230" s="165">
        <v>0.55000000000000004</v>
      </c>
      <c r="U230" s="198">
        <v>0.53900000000000003</v>
      </c>
      <c r="V230" s="166">
        <v>0.53800000000000003</v>
      </c>
      <c r="W230" s="166">
        <v>0.54300000000000004</v>
      </c>
      <c r="X230" s="179">
        <v>0.53200000000000003</v>
      </c>
      <c r="Y230" s="179" t="s">
        <v>899</v>
      </c>
      <c r="Z230" s="157" t="s">
        <v>899</v>
      </c>
      <c r="AA230" s="157" t="s">
        <v>899</v>
      </c>
      <c r="AB230" s="157" t="s">
        <v>899</v>
      </c>
      <c r="AC230" s="157" t="s">
        <v>899</v>
      </c>
      <c r="AD230" s="157" t="s">
        <v>899</v>
      </c>
      <c r="AE230" s="157" t="s">
        <v>899</v>
      </c>
      <c r="AF230" s="157" t="s">
        <v>899</v>
      </c>
      <c r="AG230" s="157" t="s">
        <v>908</v>
      </c>
      <c r="AH230" s="157">
        <v>0</v>
      </c>
      <c r="AI230" s="157" t="s">
        <v>908</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79">
        <v>0.41199999999999998</v>
      </c>
      <c r="O231">
        <v>0.43099999999999999</v>
      </c>
      <c r="P231">
        <v>0.36599999999999999</v>
      </c>
      <c r="Q231" s="199">
        <v>0.376</v>
      </c>
      <c r="R231" s="165">
        <v>0.38600000000000001</v>
      </c>
      <c r="S231" s="165">
        <v>0.40100000000000002</v>
      </c>
      <c r="T231" s="165">
        <v>0.37</v>
      </c>
      <c r="U231" s="199">
        <v>0.308</v>
      </c>
      <c r="V231" s="166">
        <v>0.317</v>
      </c>
      <c r="W231" s="166">
        <v>0.34599999999999997</v>
      </c>
      <c r="X231" s="179">
        <v>0.34599999999999997</v>
      </c>
      <c r="Y231" s="179" t="s">
        <v>899</v>
      </c>
      <c r="Z231" s="157" t="s">
        <v>899</v>
      </c>
      <c r="AA231" s="157" t="s">
        <v>899</v>
      </c>
      <c r="AB231" s="157" t="s">
        <v>899</v>
      </c>
      <c r="AC231" s="157" t="s">
        <v>899</v>
      </c>
      <c r="AD231" s="157" t="s">
        <v>899</v>
      </c>
      <c r="AE231" s="157" t="s">
        <v>899</v>
      </c>
      <c r="AF231" s="157" t="s">
        <v>899</v>
      </c>
      <c r="AG231" s="157" t="s">
        <v>908</v>
      </c>
      <c r="AH231" s="157">
        <v>0</v>
      </c>
      <c r="AI231" s="157" t="s">
        <v>908</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79">
        <v>0.434</v>
      </c>
      <c r="O232">
        <v>0.44700000000000001</v>
      </c>
      <c r="P232">
        <v>0.46</v>
      </c>
      <c r="Q232" s="199">
        <v>0.433</v>
      </c>
      <c r="R232" s="165">
        <v>0.41199999999999998</v>
      </c>
      <c r="S232" s="165">
        <v>0.40500000000000003</v>
      </c>
      <c r="T232" s="165">
        <v>0.42399999999999999</v>
      </c>
      <c r="U232" s="198">
        <v>0.41899999999999998</v>
      </c>
      <c r="V232" s="166">
        <v>0.42499999999999999</v>
      </c>
      <c r="W232" s="166">
        <v>0.436</v>
      </c>
      <c r="X232" s="179">
        <v>0.40400000000000003</v>
      </c>
      <c r="Y232" s="179" t="s">
        <v>899</v>
      </c>
      <c r="Z232" s="157" t="s">
        <v>899</v>
      </c>
      <c r="AA232" s="157" t="s">
        <v>899</v>
      </c>
      <c r="AB232" s="157" t="s">
        <v>899</v>
      </c>
      <c r="AC232" s="157" t="s">
        <v>899</v>
      </c>
      <c r="AD232" s="157" t="s">
        <v>899</v>
      </c>
      <c r="AE232" s="157" t="s">
        <v>899</v>
      </c>
      <c r="AF232" s="157" t="s">
        <v>899</v>
      </c>
      <c r="AG232" s="157" t="s">
        <v>908</v>
      </c>
      <c r="AH232" s="157">
        <v>0</v>
      </c>
      <c r="AI232" s="157" t="s">
        <v>908</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s="278">
        <v>485.3</v>
      </c>
      <c r="K233" s="278">
        <v>467.1</v>
      </c>
      <c r="L233" s="196">
        <v>484.5</v>
      </c>
      <c r="M233" s="196">
        <v>525.1</v>
      </c>
      <c r="N233" s="179">
        <v>0.41699999999999998</v>
      </c>
      <c r="O233">
        <v>0.432</v>
      </c>
      <c r="P233">
        <v>0.41599999999999998</v>
      </c>
      <c r="Q233" s="198">
        <v>0.41399999999999998</v>
      </c>
      <c r="R233" s="196">
        <v>0.377</v>
      </c>
      <c r="S233" s="278">
        <v>0.52400000000000002</v>
      </c>
      <c r="T233" s="278">
        <v>0.41299999999999998</v>
      </c>
      <c r="U233" s="198">
        <v>0.377</v>
      </c>
      <c r="V233" s="166">
        <v>0.39200000000000002</v>
      </c>
      <c r="W233" s="166">
        <v>0.38200000000000001</v>
      </c>
      <c r="X233" s="179">
        <v>0.39100000000000001</v>
      </c>
      <c r="Y233" s="179" t="s">
        <v>899</v>
      </c>
      <c r="Z233" s="164" t="s">
        <v>899</v>
      </c>
      <c r="AA233" s="157" t="s">
        <v>899</v>
      </c>
      <c r="AB233" s="278" t="s">
        <v>899</v>
      </c>
      <c r="AC233" s="278" t="s">
        <v>899</v>
      </c>
      <c r="AD233" s="157" t="s">
        <v>899</v>
      </c>
      <c r="AE233" s="157" t="s">
        <v>899</v>
      </c>
      <c r="AF233" s="157" t="s">
        <v>899</v>
      </c>
      <c r="AG233" s="157" t="s">
        <v>908</v>
      </c>
      <c r="AH233" s="157">
        <v>0</v>
      </c>
      <c r="AI233" s="157" t="s">
        <v>908</v>
      </c>
      <c r="AJ233" s="157">
        <v>379.7</v>
      </c>
      <c r="AK233" s="278">
        <v>367.6</v>
      </c>
      <c r="AL233" s="278">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79">
        <v>0.30299999999999999</v>
      </c>
      <c r="O234">
        <v>0.35</v>
      </c>
      <c r="P234">
        <v>0.33400000000000002</v>
      </c>
      <c r="Q234" s="199">
        <v>0.32900000000000001</v>
      </c>
      <c r="R234" s="165">
        <v>0.33400000000000002</v>
      </c>
      <c r="S234" s="165">
        <v>0.40100000000000002</v>
      </c>
      <c r="T234" s="165">
        <v>0.47199999999999998</v>
      </c>
      <c r="U234" s="199">
        <v>0.47899999999999998</v>
      </c>
      <c r="V234" s="201">
        <v>0.48599999999999999</v>
      </c>
      <c r="W234" s="201">
        <v>0.499</v>
      </c>
      <c r="X234" s="179">
        <v>0.48</v>
      </c>
      <c r="Y234" s="179" t="s">
        <v>899</v>
      </c>
      <c r="Z234" s="157" t="s">
        <v>899</v>
      </c>
      <c r="AA234" s="157" t="s">
        <v>899</v>
      </c>
      <c r="AB234" s="157" t="s">
        <v>899</v>
      </c>
      <c r="AC234" s="157" t="s">
        <v>899</v>
      </c>
      <c r="AD234" s="157" t="s">
        <v>899</v>
      </c>
      <c r="AE234" s="157" t="s">
        <v>899</v>
      </c>
      <c r="AF234" s="157" t="s">
        <v>899</v>
      </c>
      <c r="AG234" s="157" t="s">
        <v>908</v>
      </c>
      <c r="AH234" s="157">
        <v>0</v>
      </c>
      <c r="AI234" s="157" t="s">
        <v>908</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79">
        <v>0.65800000000000003</v>
      </c>
      <c r="O235">
        <v>0.67400000000000004</v>
      </c>
      <c r="P235">
        <v>0.66800000000000004</v>
      </c>
      <c r="Q235" s="199">
        <v>0.65500000000000003</v>
      </c>
      <c r="R235" s="165">
        <v>0.65200000000000002</v>
      </c>
      <c r="S235" s="165">
        <v>0.66</v>
      </c>
      <c r="T235" s="165">
        <v>0.63900000000000001</v>
      </c>
      <c r="U235" s="198">
        <v>0.63</v>
      </c>
      <c r="V235" s="166">
        <v>0.60899999999999999</v>
      </c>
      <c r="W235" s="166">
        <v>0.61299999999999999</v>
      </c>
      <c r="X235" s="179">
        <v>0.58499999999999996</v>
      </c>
      <c r="Y235" s="179" t="s">
        <v>899</v>
      </c>
      <c r="Z235" s="157" t="s">
        <v>899</v>
      </c>
      <c r="AA235" s="157" t="s">
        <v>899</v>
      </c>
      <c r="AB235" s="157" t="s">
        <v>899</v>
      </c>
      <c r="AC235" s="157" t="s">
        <v>899</v>
      </c>
      <c r="AD235" s="157" t="s">
        <v>899</v>
      </c>
      <c r="AE235" s="157" t="s">
        <v>899</v>
      </c>
      <c r="AF235" s="157" t="s">
        <v>899</v>
      </c>
      <c r="AG235" s="157" t="s">
        <v>908</v>
      </c>
      <c r="AH235" s="157">
        <v>0</v>
      </c>
      <c r="AI235" s="157" t="s">
        <v>908</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79">
        <v>0.35</v>
      </c>
      <c r="O236">
        <v>0.37</v>
      </c>
      <c r="P236">
        <v>0.34599999999999997</v>
      </c>
      <c r="Q236" s="199">
        <v>0.32100000000000001</v>
      </c>
      <c r="R236" s="165">
        <v>0.32800000000000001</v>
      </c>
      <c r="S236" s="165">
        <v>0.33700000000000002</v>
      </c>
      <c r="T236" s="165">
        <v>0.34499999999999997</v>
      </c>
      <c r="U236" s="198">
        <v>0.34100000000000003</v>
      </c>
      <c r="V236" s="166">
        <v>0.315</v>
      </c>
      <c r="W236" s="166">
        <v>0.29899999999999999</v>
      </c>
      <c r="X236" s="179">
        <v>0.34</v>
      </c>
      <c r="Y236" s="179" t="s">
        <v>899</v>
      </c>
      <c r="Z236" s="157" t="s">
        <v>899</v>
      </c>
      <c r="AA236" s="157" t="s">
        <v>899</v>
      </c>
      <c r="AB236" s="157" t="s">
        <v>899</v>
      </c>
      <c r="AC236" s="157" t="s">
        <v>899</v>
      </c>
      <c r="AD236" s="157" t="s">
        <v>899</v>
      </c>
      <c r="AE236" s="157" t="s">
        <v>899</v>
      </c>
      <c r="AF236" s="157" t="s">
        <v>899</v>
      </c>
      <c r="AG236" s="157" t="s">
        <v>908</v>
      </c>
      <c r="AH236" s="157">
        <v>0</v>
      </c>
      <c r="AI236" s="157" t="s">
        <v>908</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79">
        <v>0.441</v>
      </c>
      <c r="O237">
        <v>0.45500000000000002</v>
      </c>
      <c r="P237">
        <v>0.45</v>
      </c>
      <c r="Q237" s="199">
        <v>0.44400000000000001</v>
      </c>
      <c r="R237" s="165">
        <v>0.45400000000000001</v>
      </c>
      <c r="S237" s="165">
        <v>0.45400000000000001</v>
      </c>
      <c r="T237" s="165">
        <v>0.48299999999999998</v>
      </c>
      <c r="U237" s="198">
        <v>0.502</v>
      </c>
      <c r="V237" s="166">
        <v>0.47399999999999998</v>
      </c>
      <c r="W237" s="166">
        <v>0.45500000000000002</v>
      </c>
      <c r="X237" s="179">
        <v>0.44400000000000001</v>
      </c>
      <c r="Y237" s="179" t="s">
        <v>899</v>
      </c>
      <c r="Z237" s="157" t="s">
        <v>899</v>
      </c>
      <c r="AA237" s="157" t="s">
        <v>899</v>
      </c>
      <c r="AB237" s="157" t="s">
        <v>899</v>
      </c>
      <c r="AC237" s="157" t="s">
        <v>899</v>
      </c>
      <c r="AD237" s="157" t="s">
        <v>899</v>
      </c>
      <c r="AE237" s="157" t="s">
        <v>899</v>
      </c>
      <c r="AF237" s="157" t="s">
        <v>899</v>
      </c>
      <c r="AG237" s="157" t="s">
        <v>908</v>
      </c>
      <c r="AH237" s="157">
        <v>0</v>
      </c>
      <c r="AI237" s="157" t="s">
        <v>908</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79">
        <v>0.41899999999999998</v>
      </c>
      <c r="O238">
        <v>0.504</v>
      </c>
      <c r="P238">
        <v>0.41499999999999998</v>
      </c>
      <c r="Q238" s="199">
        <v>0.40899999999999997</v>
      </c>
      <c r="R238" s="165">
        <v>0.376</v>
      </c>
      <c r="S238" s="165">
        <v>0.40899999999999997</v>
      </c>
      <c r="T238" s="165">
        <v>0.42099999999999999</v>
      </c>
      <c r="U238" s="199">
        <v>0.436</v>
      </c>
      <c r="V238" s="201">
        <v>0.44600000000000001</v>
      </c>
      <c r="W238" s="201">
        <v>0.45400000000000001</v>
      </c>
      <c r="X238" s="179">
        <v>0.433</v>
      </c>
      <c r="Y238" s="179">
        <v>0.29599999999999999</v>
      </c>
      <c r="Z238" s="157">
        <v>0.28399999999999997</v>
      </c>
      <c r="AA238" s="157">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79">
        <v>0.51100000000000001</v>
      </c>
      <c r="O239">
        <v>0.48099999999999998</v>
      </c>
      <c r="P239">
        <v>0.503</v>
      </c>
      <c r="Q239" s="199">
        <v>0.46899999999999997</v>
      </c>
      <c r="R239" s="165">
        <v>0.46</v>
      </c>
      <c r="S239" s="165">
        <v>0.47699999999999998</v>
      </c>
      <c r="T239" s="165">
        <v>0.501</v>
      </c>
      <c r="U239" s="198">
        <v>0.44600000000000001</v>
      </c>
      <c r="V239" s="166">
        <v>0.442</v>
      </c>
      <c r="W239" s="166">
        <v>0.45300000000000001</v>
      </c>
      <c r="X239" s="179">
        <v>0.45</v>
      </c>
      <c r="Y239" s="179" t="s">
        <v>899</v>
      </c>
      <c r="Z239" s="157" t="s">
        <v>899</v>
      </c>
      <c r="AA239" s="157" t="s">
        <v>899</v>
      </c>
      <c r="AB239" s="157" t="s">
        <v>899</v>
      </c>
      <c r="AC239" s="157" t="s">
        <v>899</v>
      </c>
      <c r="AD239" s="157" t="s">
        <v>899</v>
      </c>
      <c r="AE239" s="157" t="s">
        <v>899</v>
      </c>
      <c r="AF239" s="157" t="s">
        <v>899</v>
      </c>
      <c r="AG239" s="157" t="s">
        <v>908</v>
      </c>
      <c r="AH239" s="157">
        <v>0</v>
      </c>
      <c r="AI239" s="157" t="s">
        <v>908</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79">
        <v>0.28999999999999998</v>
      </c>
      <c r="O240">
        <v>0.47299999999999998</v>
      </c>
      <c r="P240">
        <v>0.433</v>
      </c>
      <c r="Q240" s="199">
        <v>0.41799999999999998</v>
      </c>
      <c r="R240" s="165">
        <v>0.437</v>
      </c>
      <c r="S240" s="165">
        <v>0.44500000000000001</v>
      </c>
      <c r="T240" s="165">
        <v>0.441</v>
      </c>
      <c r="U240" s="198">
        <v>0.435</v>
      </c>
      <c r="V240" s="166">
        <v>0.42</v>
      </c>
      <c r="W240" s="166">
        <v>0.438</v>
      </c>
      <c r="X240" s="179">
        <v>0.49</v>
      </c>
      <c r="Y240" s="179" t="s">
        <v>899</v>
      </c>
      <c r="Z240" s="157" t="s">
        <v>899</v>
      </c>
      <c r="AA240" s="157" t="s">
        <v>899</v>
      </c>
      <c r="AB240" s="157" t="s">
        <v>899</v>
      </c>
      <c r="AC240" s="157" t="s">
        <v>899</v>
      </c>
      <c r="AD240" s="157" t="s">
        <v>899</v>
      </c>
      <c r="AE240" s="157" t="s">
        <v>899</v>
      </c>
      <c r="AF240" s="157" t="s">
        <v>899</v>
      </c>
      <c r="AG240" s="157" t="s">
        <v>908</v>
      </c>
      <c r="AH240" s="157">
        <v>0</v>
      </c>
      <c r="AI240" s="157" t="s">
        <v>908</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79">
        <v>0.54100000000000004</v>
      </c>
      <c r="O241">
        <v>0.51</v>
      </c>
      <c r="P241">
        <v>0.50800000000000001</v>
      </c>
      <c r="Q241" s="199">
        <v>0.51200000000000001</v>
      </c>
      <c r="R241" s="165">
        <v>0.49</v>
      </c>
      <c r="S241" s="165">
        <v>0.49</v>
      </c>
      <c r="T241" s="165">
        <v>0.504</v>
      </c>
      <c r="U241" s="198">
        <v>0.502</v>
      </c>
      <c r="V241" s="166">
        <v>0.48799999999999999</v>
      </c>
      <c r="W241" s="166">
        <v>0.498</v>
      </c>
      <c r="X241" s="179">
        <v>0.48299999999999998</v>
      </c>
      <c r="Y241" s="179" t="s">
        <v>899</v>
      </c>
      <c r="Z241" s="157" t="s">
        <v>899</v>
      </c>
      <c r="AA241" s="157" t="s">
        <v>899</v>
      </c>
      <c r="AB241" s="157" t="s">
        <v>899</v>
      </c>
      <c r="AC241" s="157" t="s">
        <v>899</v>
      </c>
      <c r="AD241" s="157" t="s">
        <v>899</v>
      </c>
      <c r="AE241" s="157" t="s">
        <v>899</v>
      </c>
      <c r="AF241" s="157" t="s">
        <v>899</v>
      </c>
      <c r="AG241" s="157" t="s">
        <v>908</v>
      </c>
      <c r="AH241" s="157">
        <v>0</v>
      </c>
      <c r="AI241" s="157" t="s">
        <v>908</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79">
        <v>0.27100000000000002</v>
      </c>
      <c r="O242">
        <v>0.26900000000000002</v>
      </c>
      <c r="P242">
        <v>0.25800000000000001</v>
      </c>
      <c r="Q242" s="199">
        <v>0.255</v>
      </c>
      <c r="R242" s="165">
        <v>0.25900000000000001</v>
      </c>
      <c r="S242" s="165">
        <v>0.25900000000000001</v>
      </c>
      <c r="T242" s="165">
        <v>0.26600000000000001</v>
      </c>
      <c r="U242" s="198">
        <v>0.28999999999999998</v>
      </c>
      <c r="V242" s="166">
        <v>0.28999999999999998</v>
      </c>
      <c r="W242" s="166">
        <v>0.29599999999999999</v>
      </c>
      <c r="X242" s="179">
        <v>0.31900000000000001</v>
      </c>
      <c r="Y242" s="179" t="s">
        <v>899</v>
      </c>
      <c r="Z242" s="157" t="s">
        <v>899</v>
      </c>
      <c r="AA242" s="157" t="s">
        <v>899</v>
      </c>
      <c r="AB242" s="157" t="s">
        <v>899</v>
      </c>
      <c r="AC242" s="157" t="s">
        <v>899</v>
      </c>
      <c r="AD242" s="157" t="s">
        <v>899</v>
      </c>
      <c r="AE242" s="157" t="s">
        <v>899</v>
      </c>
      <c r="AF242" s="157" t="s">
        <v>899</v>
      </c>
      <c r="AG242" s="157" t="s">
        <v>908</v>
      </c>
      <c r="AH242" s="157">
        <v>0</v>
      </c>
      <c r="AI242" s="157" t="s">
        <v>908</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s="278">
        <v>508.7</v>
      </c>
      <c r="J243" s="278">
        <v>505.1</v>
      </c>
      <c r="K243" s="278">
        <v>505.5</v>
      </c>
      <c r="L243" s="165">
        <v>504.9</v>
      </c>
      <c r="M243" s="165">
        <v>545.1</v>
      </c>
      <c r="N243" s="179">
        <v>0.56799999999999995</v>
      </c>
      <c r="O243">
        <v>0.61299999999999999</v>
      </c>
      <c r="P243">
        <v>0.59799999999999998</v>
      </c>
      <c r="Q243" s="279">
        <v>0.6</v>
      </c>
      <c r="R243" s="278">
        <v>0.59099999999999997</v>
      </c>
      <c r="S243" s="278">
        <v>0.58099999999999996</v>
      </c>
      <c r="T243" s="278">
        <v>0.59299999999999997</v>
      </c>
      <c r="U243" s="198">
        <v>0.57799999999999996</v>
      </c>
      <c r="V243" s="166">
        <v>0.56000000000000005</v>
      </c>
      <c r="W243" s="166">
        <v>0.56399999999999995</v>
      </c>
      <c r="X243" s="179">
        <v>0.52300000000000002</v>
      </c>
      <c r="Y243" s="179">
        <v>0.40799999999999997</v>
      </c>
      <c r="Z243" s="157">
        <v>0.36099999999999999</v>
      </c>
      <c r="AA243" s="278">
        <v>0.36599999999999999</v>
      </c>
      <c r="AB243" s="278">
        <v>0.36299999999999999</v>
      </c>
      <c r="AC243" s="278">
        <v>0</v>
      </c>
      <c r="AD243" s="157">
        <v>1E-3</v>
      </c>
      <c r="AE243" s="157">
        <v>1E-3</v>
      </c>
      <c r="AF243" s="157">
        <v>0</v>
      </c>
      <c r="AG243" s="157">
        <v>0</v>
      </c>
      <c r="AH243" s="157">
        <v>0</v>
      </c>
      <c r="AI243" s="157">
        <v>0</v>
      </c>
      <c r="AJ243" s="278">
        <v>504.9</v>
      </c>
      <c r="AK243" s="278">
        <v>480</v>
      </c>
      <c r="AL243" s="278">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79">
        <v>0.50800000000000001</v>
      </c>
      <c r="O244">
        <v>0.51900000000000002</v>
      </c>
      <c r="P244">
        <v>0.52</v>
      </c>
      <c r="Q244" s="199">
        <v>0.52700000000000002</v>
      </c>
      <c r="R244" s="165">
        <v>0.48099999999999998</v>
      </c>
      <c r="S244" s="165">
        <v>0.45800000000000002</v>
      </c>
      <c r="T244" s="165">
        <v>0.46400000000000002</v>
      </c>
      <c r="U244" s="198">
        <v>0.46200000000000002</v>
      </c>
      <c r="V244" s="166">
        <v>0.46100000000000002</v>
      </c>
      <c r="W244" s="166">
        <v>0.48599999999999999</v>
      </c>
      <c r="X244" s="179">
        <v>0.48299999999999998</v>
      </c>
      <c r="Y244" s="179" t="s">
        <v>899</v>
      </c>
      <c r="Z244" s="157" t="s">
        <v>899</v>
      </c>
      <c r="AA244" s="157" t="s">
        <v>899</v>
      </c>
      <c r="AB244" s="157" t="s">
        <v>899</v>
      </c>
      <c r="AC244" s="157" t="s">
        <v>899</v>
      </c>
      <c r="AD244" s="157" t="s">
        <v>899</v>
      </c>
      <c r="AE244" s="157" t="s">
        <v>899</v>
      </c>
      <c r="AF244" s="157" t="s">
        <v>899</v>
      </c>
      <c r="AG244" s="157" t="s">
        <v>908</v>
      </c>
      <c r="AH244" s="157">
        <v>0</v>
      </c>
      <c r="AI244" s="157" t="s">
        <v>908</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79">
        <v>0.32600000000000001</v>
      </c>
      <c r="O245">
        <v>0.30399999999999999</v>
      </c>
      <c r="P245">
        <v>0.29199999999999998</v>
      </c>
      <c r="Q245" s="199">
        <v>0.39800000000000002</v>
      </c>
      <c r="R245" s="165">
        <v>0.41199999999999998</v>
      </c>
      <c r="S245" s="165">
        <v>0.42199999999999999</v>
      </c>
      <c r="T245" s="165">
        <v>0.44900000000000001</v>
      </c>
      <c r="U245" s="198">
        <v>0.45600000000000002</v>
      </c>
      <c r="V245" s="166">
        <v>0.46600000000000003</v>
      </c>
      <c r="W245" s="166">
        <v>0.47</v>
      </c>
      <c r="X245" s="179">
        <v>0.47199999999999998</v>
      </c>
      <c r="Y245" s="179" t="s">
        <v>899</v>
      </c>
      <c r="Z245" s="157" t="s">
        <v>899</v>
      </c>
      <c r="AA245" s="157" t="s">
        <v>899</v>
      </c>
      <c r="AB245" s="157" t="s">
        <v>899</v>
      </c>
      <c r="AC245" s="157" t="s">
        <v>899</v>
      </c>
      <c r="AD245" s="157" t="s">
        <v>899</v>
      </c>
      <c r="AE245" s="157" t="s">
        <v>899</v>
      </c>
      <c r="AF245" s="157" t="s">
        <v>899</v>
      </c>
      <c r="AG245" s="157" t="s">
        <v>908</v>
      </c>
      <c r="AH245" s="157">
        <v>0</v>
      </c>
      <c r="AI245" s="157" t="s">
        <v>908</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79">
        <v>0.32600000000000001</v>
      </c>
      <c r="O246">
        <v>0.40699999999999997</v>
      </c>
      <c r="P246">
        <v>0.47899999999999998</v>
      </c>
      <c r="Q246" s="199">
        <v>0.44600000000000001</v>
      </c>
      <c r="R246" s="165">
        <v>0.40899999999999997</v>
      </c>
      <c r="S246" s="165">
        <v>0.40899999999999997</v>
      </c>
      <c r="T246" s="165">
        <v>0.41</v>
      </c>
      <c r="U246" s="198">
        <v>0.39900000000000002</v>
      </c>
      <c r="V246" s="166">
        <v>0.35799999999999998</v>
      </c>
      <c r="W246" s="166">
        <v>0.34799999999999998</v>
      </c>
      <c r="X246" s="179">
        <v>0.30599999999999999</v>
      </c>
      <c r="Y246" s="179">
        <v>0.35799999999999998</v>
      </c>
      <c r="Z246" s="157">
        <v>0.17699999999999999</v>
      </c>
      <c r="AA246" s="157">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79">
        <v>0.39500000000000002</v>
      </c>
      <c r="O247">
        <v>0.40100000000000002</v>
      </c>
      <c r="P247">
        <v>0.40899999999999997</v>
      </c>
      <c r="Q247" s="199">
        <v>0.38800000000000001</v>
      </c>
      <c r="R247" s="165">
        <v>0.40699999999999997</v>
      </c>
      <c r="S247" s="165">
        <v>0.441</v>
      </c>
      <c r="T247" s="165">
        <v>0.39900000000000002</v>
      </c>
      <c r="U247" s="198">
        <v>0.37</v>
      </c>
      <c r="V247" s="166">
        <v>0.36099999999999999</v>
      </c>
      <c r="W247" s="166">
        <v>0.40400000000000003</v>
      </c>
      <c r="X247" s="179">
        <v>0.375</v>
      </c>
      <c r="Y247" s="179" t="s">
        <v>899</v>
      </c>
      <c r="Z247" s="157" t="s">
        <v>899</v>
      </c>
      <c r="AA247" s="157" t="s">
        <v>899</v>
      </c>
      <c r="AB247" s="157" t="s">
        <v>899</v>
      </c>
      <c r="AC247" s="157" t="s">
        <v>899</v>
      </c>
      <c r="AD247" s="157" t="s">
        <v>899</v>
      </c>
      <c r="AE247" s="157" t="s">
        <v>899</v>
      </c>
      <c r="AF247" s="157" t="s">
        <v>899</v>
      </c>
      <c r="AG247" s="157" t="s">
        <v>908</v>
      </c>
      <c r="AH247" s="157">
        <v>0</v>
      </c>
      <c r="AI247" s="157" t="s">
        <v>908</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t="s">
        <v>899</v>
      </c>
      <c r="L248" t="s">
        <v>899</v>
      </c>
      <c r="M248" t="s">
        <v>899</v>
      </c>
      <c r="N248" s="179">
        <v>0.42399999999999999</v>
      </c>
      <c r="O248">
        <v>0.48599999999999999</v>
      </c>
      <c r="P248">
        <v>0.45</v>
      </c>
      <c r="Q248" s="199">
        <v>0.44700000000000001</v>
      </c>
      <c r="R248" s="165">
        <v>0.46300000000000002</v>
      </c>
      <c r="S248" s="165">
        <v>0.47899999999999998</v>
      </c>
      <c r="T248" s="165">
        <v>0.46800000000000003</v>
      </c>
      <c r="U248" t="s">
        <v>899</v>
      </c>
      <c r="V248" t="s">
        <v>899</v>
      </c>
      <c r="W248" t="s">
        <v>899</v>
      </c>
      <c r="X248" t="s">
        <v>899</v>
      </c>
      <c r="Y248" s="179" t="s">
        <v>899</v>
      </c>
      <c r="Z248" s="157" t="s">
        <v>899</v>
      </c>
      <c r="AA248" s="157" t="s">
        <v>899</v>
      </c>
      <c r="AB248" s="157" t="s">
        <v>899</v>
      </c>
      <c r="AC248" s="157" t="s">
        <v>899</v>
      </c>
      <c r="AD248" s="157" t="s">
        <v>899</v>
      </c>
      <c r="AE248" s="157" t="s">
        <v>899</v>
      </c>
      <c r="AF248" t="s">
        <v>899</v>
      </c>
      <c r="AG248" t="s">
        <v>899</v>
      </c>
      <c r="AH248" t="s">
        <v>899</v>
      </c>
      <c r="AI248" t="s">
        <v>899</v>
      </c>
      <c r="AJ248" s="157">
        <v>344.6</v>
      </c>
      <c r="AK248" s="157">
        <v>348.9</v>
      </c>
      <c r="AL248" s="157">
        <v>347</v>
      </c>
      <c r="AM248" s="157">
        <v>334.7</v>
      </c>
      <c r="AN248" s="157">
        <v>334.7</v>
      </c>
      <c r="AO248" s="157">
        <v>336.1</v>
      </c>
      <c r="AP248" s="157">
        <v>333.3</v>
      </c>
      <c r="AQ248" t="s">
        <v>899</v>
      </c>
      <c r="AR248" t="s">
        <v>899</v>
      </c>
      <c r="AS248" t="s">
        <v>899</v>
      </c>
      <c r="AT248"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79">
        <v>0.40600000000000003</v>
      </c>
      <c r="O249">
        <v>0.40799999999999997</v>
      </c>
      <c r="P249">
        <v>0.39</v>
      </c>
      <c r="Q249" s="199">
        <v>0.376</v>
      </c>
      <c r="R249" s="165">
        <v>0.41099999999999998</v>
      </c>
      <c r="S249" s="165">
        <v>0.39500000000000002</v>
      </c>
      <c r="T249" s="165">
        <v>0.378</v>
      </c>
      <c r="U249" s="198">
        <v>0.36899999999999999</v>
      </c>
      <c r="V249" s="166">
        <v>0.35</v>
      </c>
      <c r="W249" s="166">
        <v>0.33700000000000002</v>
      </c>
      <c r="X249" s="179">
        <v>0.34799999999999998</v>
      </c>
      <c r="Y249" s="179" t="s">
        <v>899</v>
      </c>
      <c r="Z249" s="157" t="s">
        <v>899</v>
      </c>
      <c r="AA249" s="157" t="s">
        <v>899</v>
      </c>
      <c r="AB249" s="157" t="s">
        <v>899</v>
      </c>
      <c r="AC249" s="157" t="s">
        <v>899</v>
      </c>
      <c r="AD249" s="157" t="s">
        <v>899</v>
      </c>
      <c r="AE249" s="157" t="s">
        <v>899</v>
      </c>
      <c r="AF249" s="157" t="s">
        <v>899</v>
      </c>
      <c r="AG249" s="157" t="s">
        <v>908</v>
      </c>
      <c r="AH249" s="157">
        <v>0</v>
      </c>
      <c r="AI249" s="157" t="s">
        <v>908</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79">
        <v>0.43</v>
      </c>
      <c r="O250">
        <v>0.43</v>
      </c>
      <c r="P250">
        <v>0.433</v>
      </c>
      <c r="Q250" s="199">
        <v>0.42899999999999999</v>
      </c>
      <c r="R250" s="165">
        <v>0.438</v>
      </c>
      <c r="S250" s="165">
        <v>0.41899999999999998</v>
      </c>
      <c r="T250" s="165">
        <v>0.42599999999999999</v>
      </c>
      <c r="U250" s="198">
        <v>0.41599999999999998</v>
      </c>
      <c r="V250" s="166">
        <v>0.41199999999999998</v>
      </c>
      <c r="W250" s="166">
        <v>0.42699999999999999</v>
      </c>
      <c r="X250" s="179">
        <v>0.44700000000000001</v>
      </c>
      <c r="Y250" s="179" t="s">
        <v>899</v>
      </c>
      <c r="Z250" s="157" t="s">
        <v>899</v>
      </c>
      <c r="AA250" s="157" t="s">
        <v>899</v>
      </c>
      <c r="AB250" s="157" t="s">
        <v>899</v>
      </c>
      <c r="AC250" s="157" t="s">
        <v>899</v>
      </c>
      <c r="AD250" s="157" t="s">
        <v>899</v>
      </c>
      <c r="AE250" s="157" t="s">
        <v>899</v>
      </c>
      <c r="AF250" s="157" t="s">
        <v>899</v>
      </c>
      <c r="AG250" s="157" t="s">
        <v>908</v>
      </c>
      <c r="AH250" s="157">
        <v>0</v>
      </c>
      <c r="AI250" s="157" t="s">
        <v>908</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79">
        <v>0.314</v>
      </c>
      <c r="O251">
        <v>0.31900000000000001</v>
      </c>
      <c r="P251">
        <v>0.32300000000000001</v>
      </c>
      <c r="Q251" s="199">
        <v>0.32800000000000001</v>
      </c>
      <c r="R251" s="165">
        <v>0.33400000000000002</v>
      </c>
      <c r="S251" s="165">
        <v>0.31900000000000001</v>
      </c>
      <c r="T251" s="165">
        <v>0.38300000000000001</v>
      </c>
      <c r="U251" s="198">
        <v>0.38100000000000001</v>
      </c>
      <c r="V251" s="166">
        <v>0.375</v>
      </c>
      <c r="W251" s="166">
        <v>0.38</v>
      </c>
      <c r="X251" s="179">
        <v>0.36599999999999999</v>
      </c>
      <c r="Y251" s="179" t="s">
        <v>899</v>
      </c>
      <c r="Z251" s="157" t="s">
        <v>899</v>
      </c>
      <c r="AA251" s="157" t="s">
        <v>899</v>
      </c>
      <c r="AB251" s="157" t="s">
        <v>899</v>
      </c>
      <c r="AC251" s="157" t="s">
        <v>899</v>
      </c>
      <c r="AD251" s="157" t="s">
        <v>899</v>
      </c>
      <c r="AE251" s="157" t="s">
        <v>899</v>
      </c>
      <c r="AF251" s="157" t="s">
        <v>899</v>
      </c>
      <c r="AG251" s="157" t="s">
        <v>908</v>
      </c>
      <c r="AH251" s="157">
        <v>0</v>
      </c>
      <c r="AI251" s="157" t="s">
        <v>908</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79">
        <v>0.29299999999999998</v>
      </c>
      <c r="O252">
        <v>0.29099999999999998</v>
      </c>
      <c r="P252">
        <v>0.27700000000000002</v>
      </c>
      <c r="Q252" s="199">
        <v>0.30199999999999999</v>
      </c>
      <c r="R252" s="165">
        <v>0.3</v>
      </c>
      <c r="S252" s="165">
        <v>0.28899999999999998</v>
      </c>
      <c r="T252" s="165">
        <v>0.29599999999999999</v>
      </c>
      <c r="U252" s="198">
        <v>0.307</v>
      </c>
      <c r="V252" s="166">
        <v>0.31</v>
      </c>
      <c r="W252" s="166">
        <v>0.317</v>
      </c>
      <c r="X252" s="179">
        <v>0.32200000000000001</v>
      </c>
      <c r="Y252" s="179">
        <v>0.159</v>
      </c>
      <c r="Z252" s="157">
        <v>0.13900000000000001</v>
      </c>
      <c r="AA252" s="157">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79">
        <v>0.52500000000000002</v>
      </c>
      <c r="O253">
        <v>0.504</v>
      </c>
      <c r="P253">
        <v>0.50600000000000001</v>
      </c>
      <c r="Q253" s="199">
        <v>0.499</v>
      </c>
      <c r="R253" s="165">
        <v>0.49199999999999999</v>
      </c>
      <c r="S253" s="165">
        <v>0.54600000000000004</v>
      </c>
      <c r="T253" s="165">
        <v>0.54800000000000004</v>
      </c>
      <c r="U253" s="198">
        <v>0.54100000000000004</v>
      </c>
      <c r="V253" s="166">
        <v>0.55500000000000005</v>
      </c>
      <c r="W253" s="166">
        <v>0.54600000000000004</v>
      </c>
      <c r="X253" s="179">
        <v>0.53300000000000003</v>
      </c>
      <c r="Y253" s="179">
        <v>0.47099999999999997</v>
      </c>
      <c r="Z253" s="157">
        <v>0.43</v>
      </c>
      <c r="AA253" s="157">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s="278">
        <v>767.4</v>
      </c>
      <c r="K254" s="278">
        <v>756.3</v>
      </c>
      <c r="L254" s="165">
        <v>732.6</v>
      </c>
      <c r="M254" s="165">
        <v>723.8</v>
      </c>
      <c r="N254" s="179">
        <v>0.314</v>
      </c>
      <c r="O254">
        <v>0.307</v>
      </c>
      <c r="P254">
        <v>0.29899999999999999</v>
      </c>
      <c r="Q254" s="199">
        <v>0.29399999999999998</v>
      </c>
      <c r="R254" s="165">
        <v>0.29199999999999998</v>
      </c>
      <c r="S254" s="278">
        <v>0.26800000000000002</v>
      </c>
      <c r="T254" s="278">
        <v>0.26300000000000001</v>
      </c>
      <c r="U254" s="198">
        <v>0.23899999999999999</v>
      </c>
      <c r="V254" s="166">
        <v>0.23300000000000001</v>
      </c>
      <c r="W254" s="166">
        <v>0.24</v>
      </c>
      <c r="X254" s="179">
        <v>0.26500000000000001</v>
      </c>
      <c r="Y254" s="179">
        <v>7.0999999999999994E-2</v>
      </c>
      <c r="Z254" s="164">
        <v>6.4000000000000001E-2</v>
      </c>
      <c r="AA254" s="157">
        <v>9.9000000000000005E-2</v>
      </c>
      <c r="AB254" s="278">
        <v>5.8000000000000003E-2</v>
      </c>
      <c r="AC254" s="278">
        <v>6.2E-2</v>
      </c>
      <c r="AD254" s="157">
        <v>8.0000000000000002E-3</v>
      </c>
      <c r="AE254" s="157">
        <v>2.4E-2</v>
      </c>
      <c r="AF254" s="157">
        <v>0.03</v>
      </c>
      <c r="AG254" s="157">
        <v>0</v>
      </c>
      <c r="AH254" s="157">
        <v>8.9999999999999993E-3</v>
      </c>
      <c r="AI254" s="157">
        <v>0</v>
      </c>
      <c r="AJ254" s="157">
        <v>420.4</v>
      </c>
      <c r="AK254" s="278">
        <v>383.8</v>
      </c>
      <c r="AL254" s="278">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79">
        <v>0.44400000000000001</v>
      </c>
      <c r="O255">
        <v>0.46100000000000002</v>
      </c>
      <c r="P255">
        <v>0.439</v>
      </c>
      <c r="Q255" s="199">
        <v>0.39500000000000002</v>
      </c>
      <c r="R255" s="165">
        <v>0.39800000000000002</v>
      </c>
      <c r="S255" s="165">
        <v>0.42799999999999999</v>
      </c>
      <c r="T255" s="165">
        <v>0.42399999999999999</v>
      </c>
      <c r="U255" s="198">
        <v>0.40600000000000003</v>
      </c>
      <c r="V255" s="166">
        <v>0.378</v>
      </c>
      <c r="W255" s="166">
        <v>0.36699999999999999</v>
      </c>
      <c r="X255" s="179">
        <v>0.377</v>
      </c>
      <c r="Y255" s="179">
        <v>0.11799999999999999</v>
      </c>
      <c r="Z255" s="157">
        <v>8.1000000000000003E-2</v>
      </c>
      <c r="AA255" s="157">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t="s">
        <v>899</v>
      </c>
      <c r="L256" t="s">
        <v>899</v>
      </c>
      <c r="M256" t="s">
        <v>899</v>
      </c>
      <c r="N256" s="179">
        <v>0.50900000000000001</v>
      </c>
      <c r="O256">
        <v>0.50900000000000001</v>
      </c>
      <c r="P256">
        <v>0.503</v>
      </c>
      <c r="Q256" s="199">
        <v>0.501</v>
      </c>
      <c r="R256" s="165">
        <v>0.52200000000000002</v>
      </c>
      <c r="S256" s="165">
        <v>0.52900000000000003</v>
      </c>
      <c r="T256" s="165">
        <v>0.52700000000000002</v>
      </c>
      <c r="U256" t="s">
        <v>899</v>
      </c>
      <c r="V256" t="s">
        <v>899</v>
      </c>
      <c r="W256" t="s">
        <v>899</v>
      </c>
      <c r="X256" t="s">
        <v>899</v>
      </c>
      <c r="Y256" s="179">
        <v>0.51900000000000002</v>
      </c>
      <c r="Z256" s="157">
        <v>0.48099999999999998</v>
      </c>
      <c r="AA256" s="157">
        <v>0.48599999999999999</v>
      </c>
      <c r="AB256" s="157">
        <v>0.48099999999999998</v>
      </c>
      <c r="AC256" s="157">
        <v>0.46300000000000002</v>
      </c>
      <c r="AD256" s="157">
        <v>0.45800000000000002</v>
      </c>
      <c r="AE256" s="157">
        <v>0.45900000000000002</v>
      </c>
      <c r="AF256" t="s">
        <v>899</v>
      </c>
      <c r="AG256" t="s">
        <v>899</v>
      </c>
      <c r="AH256" t="s">
        <v>899</v>
      </c>
      <c r="AI256" t="s">
        <v>899</v>
      </c>
      <c r="AJ256" s="157">
        <v>471.8</v>
      </c>
      <c r="AK256" s="157">
        <v>452</v>
      </c>
      <c r="AL256" s="157">
        <v>451.3</v>
      </c>
      <c r="AM256" s="157">
        <v>455</v>
      </c>
      <c r="AN256" s="157">
        <v>464.6</v>
      </c>
      <c r="AO256" s="157">
        <v>468.8</v>
      </c>
      <c r="AP256" s="157">
        <v>469</v>
      </c>
      <c r="AQ256" t="s">
        <v>899</v>
      </c>
      <c r="AR256" t="s">
        <v>899</v>
      </c>
      <c r="AS256" t="s">
        <v>899</v>
      </c>
      <c r="AT256"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t="s">
        <v>899</v>
      </c>
      <c r="N257" s="179">
        <v>0.33400000000000002</v>
      </c>
      <c r="O257">
        <v>0.33200000000000002</v>
      </c>
      <c r="P257">
        <v>0.32400000000000001</v>
      </c>
      <c r="Q257" s="199">
        <v>0.33400000000000002</v>
      </c>
      <c r="R257" s="165">
        <v>0.50700000000000001</v>
      </c>
      <c r="S257" s="165">
        <v>0.50700000000000001</v>
      </c>
      <c r="T257" s="165">
        <v>0.51300000000000001</v>
      </c>
      <c r="U257" s="198">
        <v>0.51900000000000002</v>
      </c>
      <c r="V257" s="166">
        <v>0.51400000000000001</v>
      </c>
      <c r="W257" s="166">
        <v>0.505</v>
      </c>
      <c r="X257" t="s">
        <v>899</v>
      </c>
      <c r="Y257" s="179" t="s">
        <v>899</v>
      </c>
      <c r="Z257" s="157" t="s">
        <v>899</v>
      </c>
      <c r="AA257" s="157" t="s">
        <v>899</v>
      </c>
      <c r="AB257" s="157" t="s">
        <v>899</v>
      </c>
      <c r="AC257" s="157" t="s">
        <v>899</v>
      </c>
      <c r="AD257" s="157" t="s">
        <v>899</v>
      </c>
      <c r="AE257" s="157" t="s">
        <v>899</v>
      </c>
      <c r="AF257" s="157" t="s">
        <v>899</v>
      </c>
      <c r="AG257" s="157" t="s">
        <v>908</v>
      </c>
      <c r="AH257" s="157">
        <v>0</v>
      </c>
      <c r="AI257" t="s">
        <v>899</v>
      </c>
      <c r="AJ257" s="157">
        <v>367.9</v>
      </c>
      <c r="AK257" s="157">
        <v>342</v>
      </c>
      <c r="AL257" s="157">
        <v>335.8</v>
      </c>
      <c r="AM257" s="157">
        <v>320.60000000000002</v>
      </c>
      <c r="AN257" s="157">
        <v>336</v>
      </c>
      <c r="AO257" s="157">
        <v>334</v>
      </c>
      <c r="AP257" s="157">
        <v>340.6</v>
      </c>
      <c r="AQ257" s="157">
        <v>337.2</v>
      </c>
      <c r="AR257" s="157">
        <v>325.60000000000002</v>
      </c>
      <c r="AS257" s="157">
        <v>327.2</v>
      </c>
      <c r="AT257" t="s">
        <v>899</v>
      </c>
    </row>
    <row r="258" spans="1:46" ht="14.7" customHeight="1">
      <c r="A258" s="163" t="s">
        <v>138</v>
      </c>
      <c r="B258" s="244"/>
      <c r="C258">
        <v>412.4</v>
      </c>
      <c r="D258">
        <v>384.8</v>
      </c>
      <c r="E258">
        <v>416.6</v>
      </c>
      <c r="F258">
        <v>406.5</v>
      </c>
      <c r="G258">
        <v>401.3</v>
      </c>
      <c r="H258">
        <v>404.7</v>
      </c>
      <c r="I258" t="s">
        <v>899</v>
      </c>
      <c r="J258" t="s">
        <v>899</v>
      </c>
      <c r="K258" t="s">
        <v>899</v>
      </c>
      <c r="L258" t="s">
        <v>899</v>
      </c>
      <c r="M258" t="s">
        <v>899</v>
      </c>
      <c r="N258" s="179">
        <v>0.56299999999999994</v>
      </c>
      <c r="O258">
        <v>0.58299999999999996</v>
      </c>
      <c r="P258">
        <v>0.56000000000000005</v>
      </c>
      <c r="Q258" s="199">
        <v>0.56999999999999995</v>
      </c>
      <c r="R258" s="165">
        <v>0.58099999999999996</v>
      </c>
      <c r="S258" s="165">
        <v>0.57499999999999996</v>
      </c>
      <c r="T258" t="s">
        <v>899</v>
      </c>
      <c r="U258" t="s">
        <v>899</v>
      </c>
      <c r="V258" t="s">
        <v>899</v>
      </c>
      <c r="W258" t="s">
        <v>899</v>
      </c>
      <c r="X258" t="s">
        <v>899</v>
      </c>
      <c r="Y258" s="179" t="s">
        <v>899</v>
      </c>
      <c r="Z258" s="157" t="s">
        <v>899</v>
      </c>
      <c r="AA258" s="157" t="s">
        <v>899</v>
      </c>
      <c r="AB258" s="157" t="s">
        <v>899</v>
      </c>
      <c r="AC258" s="157" t="s">
        <v>899</v>
      </c>
      <c r="AD258" s="157" t="s">
        <v>899</v>
      </c>
      <c r="AE258" t="s">
        <v>899</v>
      </c>
      <c r="AF258" t="s">
        <v>899</v>
      </c>
      <c r="AG258" t="s">
        <v>899</v>
      </c>
      <c r="AH258" t="s">
        <v>899</v>
      </c>
      <c r="AI258" t="s">
        <v>899</v>
      </c>
      <c r="AJ258" s="157">
        <v>419.3</v>
      </c>
      <c r="AK258" s="157">
        <v>392.5</v>
      </c>
      <c r="AL258" s="157">
        <v>396.7</v>
      </c>
      <c r="AM258" s="157">
        <v>397.6</v>
      </c>
      <c r="AN258" s="157">
        <v>396.5</v>
      </c>
      <c r="AO258" s="157">
        <v>395.2</v>
      </c>
      <c r="AP258" t="s">
        <v>899</v>
      </c>
      <c r="AQ258" t="s">
        <v>899</v>
      </c>
      <c r="AR258" t="s">
        <v>899</v>
      </c>
      <c r="AS258" t="s">
        <v>899</v>
      </c>
      <c r="AT258"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79">
        <v>0.49299999999999999</v>
      </c>
      <c r="O259">
        <v>0.46500000000000002</v>
      </c>
      <c r="P259">
        <v>0.45200000000000001</v>
      </c>
      <c r="Q259" s="199">
        <v>0.48199999999999998</v>
      </c>
      <c r="R259" s="165">
        <v>0.49</v>
      </c>
      <c r="S259" s="165">
        <v>0.47199999999999998</v>
      </c>
      <c r="T259" s="165">
        <v>0.48199999999999998</v>
      </c>
      <c r="U259" s="198">
        <v>0.45800000000000002</v>
      </c>
      <c r="V259" s="166">
        <v>0.438</v>
      </c>
      <c r="W259" s="166">
        <v>0.45200000000000001</v>
      </c>
      <c r="X259" s="179">
        <v>0.46100000000000002</v>
      </c>
      <c r="Y259" s="179" t="s">
        <v>899</v>
      </c>
      <c r="Z259" s="157" t="s">
        <v>899</v>
      </c>
      <c r="AA259" s="157" t="s">
        <v>899</v>
      </c>
      <c r="AB259" s="157" t="s">
        <v>899</v>
      </c>
      <c r="AC259" s="157" t="s">
        <v>899</v>
      </c>
      <c r="AD259" s="157" t="s">
        <v>899</v>
      </c>
      <c r="AE259" s="157" t="s">
        <v>899</v>
      </c>
      <c r="AF259" s="157" t="s">
        <v>899</v>
      </c>
      <c r="AG259" s="157" t="s">
        <v>908</v>
      </c>
      <c r="AH259" s="157">
        <v>0</v>
      </c>
      <c r="AI259" s="157" t="s">
        <v>908</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79">
        <v>0.45100000000000001</v>
      </c>
      <c r="O260">
        <v>0.53100000000000003</v>
      </c>
      <c r="P260">
        <v>0.51400000000000001</v>
      </c>
      <c r="Q260" s="199">
        <v>0.49</v>
      </c>
      <c r="R260" s="165">
        <v>0.47499999999999998</v>
      </c>
      <c r="S260" s="165">
        <v>0.47699999999999998</v>
      </c>
      <c r="T260" s="165">
        <v>0.49199999999999999</v>
      </c>
      <c r="U260" s="198">
        <v>0.51600000000000001</v>
      </c>
      <c r="V260" s="166">
        <v>0.57799999999999996</v>
      </c>
      <c r="W260" s="166">
        <v>0.59099999999999997</v>
      </c>
      <c r="X260" s="179">
        <v>0.58499999999999996</v>
      </c>
      <c r="Y260" s="179">
        <v>0.51400000000000001</v>
      </c>
      <c r="Z260" s="157">
        <v>0.26</v>
      </c>
      <c r="AA260" s="157">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79">
        <v>0.54900000000000004</v>
      </c>
      <c r="O261">
        <v>0.54800000000000004</v>
      </c>
      <c r="P261">
        <v>0.53800000000000003</v>
      </c>
      <c r="Q261" s="199">
        <v>0.53200000000000003</v>
      </c>
      <c r="R261" s="165">
        <v>0.53400000000000003</v>
      </c>
      <c r="S261" s="165">
        <v>0.52900000000000003</v>
      </c>
      <c r="T261" s="165">
        <v>0.54700000000000004</v>
      </c>
      <c r="U261" s="198">
        <v>0.53900000000000003</v>
      </c>
      <c r="V261" s="166">
        <v>0.53900000000000003</v>
      </c>
      <c r="W261" s="166">
        <v>0.54400000000000004</v>
      </c>
      <c r="X261" s="179">
        <v>0.54700000000000004</v>
      </c>
      <c r="Y261" s="179" t="s">
        <v>899</v>
      </c>
      <c r="Z261" s="157" t="s">
        <v>899</v>
      </c>
      <c r="AA261" s="157" t="s">
        <v>899</v>
      </c>
      <c r="AB261" s="157" t="s">
        <v>899</v>
      </c>
      <c r="AC261" s="157" t="s">
        <v>899</v>
      </c>
      <c r="AD261" s="157" t="s">
        <v>899</v>
      </c>
      <c r="AE261" s="157" t="s">
        <v>899</v>
      </c>
      <c r="AF261" s="157" t="s">
        <v>899</v>
      </c>
      <c r="AG261" s="157" t="s">
        <v>908</v>
      </c>
      <c r="AH261" s="157">
        <v>0</v>
      </c>
      <c r="AI261" s="157" t="s">
        <v>908</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79">
        <v>0.33</v>
      </c>
      <c r="O262">
        <v>0.33700000000000002</v>
      </c>
      <c r="P262">
        <v>0.30099999999999999</v>
      </c>
      <c r="Q262" s="199">
        <v>0.29699999999999999</v>
      </c>
      <c r="R262" s="165">
        <v>0.308</v>
      </c>
      <c r="S262" s="165">
        <v>0.27900000000000003</v>
      </c>
      <c r="T262" s="165">
        <v>0.28299999999999997</v>
      </c>
      <c r="U262" s="198">
        <v>0.27200000000000002</v>
      </c>
      <c r="V262" s="166">
        <v>0.25900000000000001</v>
      </c>
      <c r="W262" s="166">
        <v>0.28100000000000003</v>
      </c>
      <c r="X262" s="179">
        <v>0.27300000000000002</v>
      </c>
      <c r="Y262" s="179" t="s">
        <v>899</v>
      </c>
      <c r="Z262" s="157" t="s">
        <v>899</v>
      </c>
      <c r="AA262" s="157" t="s">
        <v>899</v>
      </c>
      <c r="AB262" s="157" t="s">
        <v>899</v>
      </c>
      <c r="AC262" s="157" t="s">
        <v>899</v>
      </c>
      <c r="AD262" s="157" t="s">
        <v>899</v>
      </c>
      <c r="AE262" s="157" t="s">
        <v>899</v>
      </c>
      <c r="AF262" s="157" t="s">
        <v>899</v>
      </c>
      <c r="AG262" s="157" t="s">
        <v>908</v>
      </c>
      <c r="AH262" s="157">
        <v>0</v>
      </c>
      <c r="AI262" s="157" t="s">
        <v>908</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79">
        <v>0.50700000000000001</v>
      </c>
      <c r="O263">
        <v>0.48599999999999999</v>
      </c>
      <c r="P263">
        <v>0.48299999999999998</v>
      </c>
      <c r="Q263" s="199">
        <v>0.47699999999999998</v>
      </c>
      <c r="R263" s="165">
        <v>0.47599999999999998</v>
      </c>
      <c r="S263" s="165">
        <v>0.432</v>
      </c>
      <c r="T263" s="165">
        <v>0.432</v>
      </c>
      <c r="U263" s="198">
        <v>0.40899999999999997</v>
      </c>
      <c r="V263" s="166">
        <v>0.39200000000000002</v>
      </c>
      <c r="W263" s="166">
        <v>0.40300000000000002</v>
      </c>
      <c r="X263" s="179">
        <v>0.40400000000000003</v>
      </c>
      <c r="Y263" s="179" t="s">
        <v>899</v>
      </c>
      <c r="Z263" s="157" t="s">
        <v>899</v>
      </c>
      <c r="AA263" s="157" t="s">
        <v>899</v>
      </c>
      <c r="AB263" s="157" t="s">
        <v>899</v>
      </c>
      <c r="AC263" s="157" t="s">
        <v>899</v>
      </c>
      <c r="AD263" s="157" t="s">
        <v>899</v>
      </c>
      <c r="AE263" s="157" t="s">
        <v>899</v>
      </c>
      <c r="AF263" s="157" t="s">
        <v>899</v>
      </c>
      <c r="AG263" s="157" t="s">
        <v>908</v>
      </c>
      <c r="AH263" s="157">
        <v>0</v>
      </c>
      <c r="AI263" s="157" t="s">
        <v>908</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79">
        <v>0.441</v>
      </c>
      <c r="O264">
        <v>0.45200000000000001</v>
      </c>
      <c r="P264">
        <v>0.42699999999999999</v>
      </c>
      <c r="Q264" s="199">
        <v>0.434</v>
      </c>
      <c r="R264" s="165">
        <v>0.438</v>
      </c>
      <c r="S264" s="165">
        <v>0.41899999999999998</v>
      </c>
      <c r="T264" s="165">
        <v>0.42399999999999999</v>
      </c>
      <c r="U264" s="199">
        <v>0.44400000000000001</v>
      </c>
      <c r="V264" s="201">
        <v>0.442</v>
      </c>
      <c r="W264" s="201">
        <v>0.45</v>
      </c>
      <c r="X264" s="179">
        <v>0.435</v>
      </c>
      <c r="Y264" s="179" t="s">
        <v>899</v>
      </c>
      <c r="Z264" s="157" t="s">
        <v>899</v>
      </c>
      <c r="AA264" s="157" t="s">
        <v>899</v>
      </c>
      <c r="AB264" s="157" t="s">
        <v>899</v>
      </c>
      <c r="AC264" s="157" t="s">
        <v>899</v>
      </c>
      <c r="AD264" s="157" t="s">
        <v>899</v>
      </c>
      <c r="AE264" s="157" t="s">
        <v>899</v>
      </c>
      <c r="AF264" s="157" t="s">
        <v>899</v>
      </c>
      <c r="AG264" s="157" t="s">
        <v>908</v>
      </c>
      <c r="AH264" s="157">
        <v>0</v>
      </c>
      <c r="AI264" s="157" t="s">
        <v>908</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79">
        <v>0.39600000000000002</v>
      </c>
      <c r="O265">
        <v>0.41099999999999998</v>
      </c>
      <c r="P265">
        <v>0.39200000000000002</v>
      </c>
      <c r="Q265" s="199">
        <v>0.39200000000000002</v>
      </c>
      <c r="R265" s="165">
        <v>0.40400000000000003</v>
      </c>
      <c r="S265" s="165">
        <v>0.436</v>
      </c>
      <c r="T265" s="165">
        <v>0.44900000000000001</v>
      </c>
      <c r="U265" s="199">
        <v>0.42899999999999999</v>
      </c>
      <c r="V265" s="201">
        <v>0.41299999999999998</v>
      </c>
      <c r="W265" s="201">
        <v>0.42499999999999999</v>
      </c>
      <c r="X265" s="179">
        <v>0.41799999999999998</v>
      </c>
      <c r="Y265" s="179" t="s">
        <v>899</v>
      </c>
      <c r="Z265" s="157" t="s">
        <v>899</v>
      </c>
      <c r="AA265" s="157" t="s">
        <v>899</v>
      </c>
      <c r="AB265" s="157" t="s">
        <v>899</v>
      </c>
      <c r="AC265" s="157" t="s">
        <v>899</v>
      </c>
      <c r="AD265" s="157" t="s">
        <v>899</v>
      </c>
      <c r="AE265" s="157" t="s">
        <v>899</v>
      </c>
      <c r="AF265" s="157" t="s">
        <v>899</v>
      </c>
      <c r="AG265" s="157" t="s">
        <v>908</v>
      </c>
      <c r="AH265" s="157">
        <v>0</v>
      </c>
      <c r="AI265" s="157" t="s">
        <v>908</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79">
        <v>0.499</v>
      </c>
      <c r="O266">
        <v>0.499</v>
      </c>
      <c r="P266">
        <v>0.48799999999999999</v>
      </c>
      <c r="Q266" s="199">
        <v>0.56699999999999995</v>
      </c>
      <c r="R266" s="165">
        <v>0.59899999999999998</v>
      </c>
      <c r="S266" s="165">
        <v>0.59</v>
      </c>
      <c r="T266" s="165">
        <v>0.61399999999999999</v>
      </c>
      <c r="U266" s="198">
        <v>0.60499999999999998</v>
      </c>
      <c r="V266" s="166">
        <v>0.59599999999999997</v>
      </c>
      <c r="W266" s="166">
        <v>0.59899999999999998</v>
      </c>
      <c r="X266" s="179">
        <v>0.59599999999999997</v>
      </c>
      <c r="Y266" s="179" t="s">
        <v>899</v>
      </c>
      <c r="Z266" s="157" t="s">
        <v>899</v>
      </c>
      <c r="AA266" s="157" t="s">
        <v>899</v>
      </c>
      <c r="AB266" s="157" t="s">
        <v>899</v>
      </c>
      <c r="AC266" s="157" t="s">
        <v>899</v>
      </c>
      <c r="AD266" s="157" t="s">
        <v>899</v>
      </c>
      <c r="AE266" s="157" t="s">
        <v>899</v>
      </c>
      <c r="AF266" s="157" t="s">
        <v>899</v>
      </c>
      <c r="AG266" s="157" t="s">
        <v>908</v>
      </c>
      <c r="AH266" s="157">
        <v>0</v>
      </c>
      <c r="AI266" s="157" t="s">
        <v>908</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79">
        <v>0.65100000000000002</v>
      </c>
      <c r="O267">
        <v>0.67900000000000005</v>
      </c>
      <c r="P267">
        <v>0.65300000000000002</v>
      </c>
      <c r="Q267" s="199">
        <v>0.65700000000000003</v>
      </c>
      <c r="R267" s="165">
        <v>0.67300000000000004</v>
      </c>
      <c r="S267" s="165">
        <v>0.66600000000000004</v>
      </c>
      <c r="T267" s="165">
        <v>0.63800000000000001</v>
      </c>
      <c r="U267" s="198">
        <v>0.63</v>
      </c>
      <c r="V267" s="166">
        <v>0.63300000000000001</v>
      </c>
      <c r="W267" s="166">
        <v>0.64</v>
      </c>
      <c r="X267" s="179">
        <v>0.63600000000000001</v>
      </c>
      <c r="Y267" s="179" t="s">
        <v>899</v>
      </c>
      <c r="Z267" s="157" t="s">
        <v>899</v>
      </c>
      <c r="AA267" s="157" t="s">
        <v>899</v>
      </c>
      <c r="AB267" s="157" t="s">
        <v>899</v>
      </c>
      <c r="AC267" s="157" t="s">
        <v>899</v>
      </c>
      <c r="AD267" s="157" t="s">
        <v>899</v>
      </c>
      <c r="AE267" s="157" t="s">
        <v>899</v>
      </c>
      <c r="AF267" s="157" t="s">
        <v>899</v>
      </c>
      <c r="AG267" s="157" t="s">
        <v>908</v>
      </c>
      <c r="AH267" s="157">
        <v>0</v>
      </c>
      <c r="AI267" s="157" t="s">
        <v>908</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79">
        <v>0.47799999999999998</v>
      </c>
      <c r="O268">
        <v>0.48699999999999999</v>
      </c>
      <c r="P268">
        <v>0.48899999999999999</v>
      </c>
      <c r="Q268" s="199">
        <v>0.505</v>
      </c>
      <c r="R268" s="165">
        <v>0.49399999999999999</v>
      </c>
      <c r="S268" s="165">
        <v>0.49399999999999999</v>
      </c>
      <c r="T268" s="165">
        <v>0.47399999999999998</v>
      </c>
      <c r="U268" s="198">
        <v>0.46500000000000002</v>
      </c>
      <c r="V268" s="166">
        <v>0.42699999999999999</v>
      </c>
      <c r="W268" s="166">
        <v>0.46200000000000002</v>
      </c>
      <c r="X268" s="179">
        <v>0.45500000000000002</v>
      </c>
      <c r="Y268" s="179" t="s">
        <v>899</v>
      </c>
      <c r="Z268" s="157" t="s">
        <v>899</v>
      </c>
      <c r="AA268" s="157" t="s">
        <v>899</v>
      </c>
      <c r="AB268" s="157" t="s">
        <v>899</v>
      </c>
      <c r="AC268" s="157" t="s">
        <v>899</v>
      </c>
      <c r="AD268" s="157" t="s">
        <v>899</v>
      </c>
      <c r="AE268" s="157" t="s">
        <v>899</v>
      </c>
      <c r="AF268" s="157" t="s">
        <v>899</v>
      </c>
      <c r="AG268" s="157" t="s">
        <v>908</v>
      </c>
      <c r="AH268" s="157">
        <v>0</v>
      </c>
      <c r="AI268" s="157" t="s">
        <v>908</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t="s">
        <v>899</v>
      </c>
      <c r="L269" t="s">
        <v>899</v>
      </c>
      <c r="M269" t="s">
        <v>899</v>
      </c>
      <c r="N269" s="179">
        <v>0.41599999999999998</v>
      </c>
      <c r="O269">
        <v>0.443</v>
      </c>
      <c r="P269">
        <v>0.42899999999999999</v>
      </c>
      <c r="Q269" s="199">
        <v>0.437</v>
      </c>
      <c r="R269" s="165">
        <v>0.45100000000000001</v>
      </c>
      <c r="S269" s="165">
        <v>0.45600000000000002</v>
      </c>
      <c r="T269" s="165">
        <v>0.46200000000000002</v>
      </c>
      <c r="U269" t="s">
        <v>899</v>
      </c>
      <c r="V269" t="s">
        <v>899</v>
      </c>
      <c r="W269" t="s">
        <v>899</v>
      </c>
      <c r="X269" t="s">
        <v>899</v>
      </c>
      <c r="Y269" s="179" t="s">
        <v>899</v>
      </c>
      <c r="Z269" s="157" t="s">
        <v>899</v>
      </c>
      <c r="AA269" s="157" t="s">
        <v>899</v>
      </c>
      <c r="AB269" s="157" t="s">
        <v>899</v>
      </c>
      <c r="AC269" s="157" t="s">
        <v>899</v>
      </c>
      <c r="AD269" s="157" t="s">
        <v>899</v>
      </c>
      <c r="AE269" s="157" t="s">
        <v>899</v>
      </c>
      <c r="AF269" t="s">
        <v>899</v>
      </c>
      <c r="AG269" t="s">
        <v>899</v>
      </c>
      <c r="AH269" t="s">
        <v>899</v>
      </c>
      <c r="AI269" t="s">
        <v>899</v>
      </c>
      <c r="AJ269" s="157">
        <v>304.5</v>
      </c>
      <c r="AK269" s="157">
        <v>328.5</v>
      </c>
      <c r="AL269" s="157">
        <v>328.5</v>
      </c>
      <c r="AM269" s="157">
        <v>333.9</v>
      </c>
      <c r="AN269" s="157">
        <v>336.7</v>
      </c>
      <c r="AO269" s="157">
        <v>338.7</v>
      </c>
      <c r="AP269" s="157">
        <v>341</v>
      </c>
      <c r="AQ269" t="s">
        <v>899</v>
      </c>
      <c r="AR269" t="s">
        <v>899</v>
      </c>
      <c r="AS269" t="s">
        <v>899</v>
      </c>
      <c r="AT269"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79">
        <v>0.498</v>
      </c>
      <c r="O270">
        <v>0.5</v>
      </c>
      <c r="P270">
        <v>0.504</v>
      </c>
      <c r="Q270" s="199">
        <v>0.55200000000000005</v>
      </c>
      <c r="R270" s="165">
        <v>0.54100000000000004</v>
      </c>
      <c r="S270" s="165">
        <v>0.52500000000000002</v>
      </c>
      <c r="T270" s="165">
        <v>0.51900000000000002</v>
      </c>
      <c r="U270" s="198">
        <v>0.504</v>
      </c>
      <c r="V270" s="166">
        <v>0.501</v>
      </c>
      <c r="W270" s="166">
        <v>0.51</v>
      </c>
      <c r="X270" s="179">
        <v>0.48399999999999999</v>
      </c>
      <c r="Y270" s="179" t="s">
        <v>899</v>
      </c>
      <c r="Z270" s="157" t="s">
        <v>899</v>
      </c>
      <c r="AA270" s="157" t="s">
        <v>899</v>
      </c>
      <c r="AB270" s="157" t="s">
        <v>899</v>
      </c>
      <c r="AC270" s="157" t="s">
        <v>899</v>
      </c>
      <c r="AD270" s="157" t="s">
        <v>899</v>
      </c>
      <c r="AE270" s="157" t="s">
        <v>899</v>
      </c>
      <c r="AF270" s="157" t="s">
        <v>899</v>
      </c>
      <c r="AG270" s="157" t="s">
        <v>908</v>
      </c>
      <c r="AH270" s="157">
        <v>0</v>
      </c>
      <c r="AI270" s="157" t="s">
        <v>908</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79">
        <v>0.34599999999999997</v>
      </c>
      <c r="O271">
        <v>0.38600000000000001</v>
      </c>
      <c r="P271">
        <v>0.34899999999999998</v>
      </c>
      <c r="Q271" s="199">
        <v>0.38100000000000001</v>
      </c>
      <c r="R271" s="165">
        <v>0.39200000000000002</v>
      </c>
      <c r="S271" s="165">
        <v>0.37</v>
      </c>
      <c r="T271" s="165">
        <v>0.34699999999999998</v>
      </c>
      <c r="U271" s="199">
        <v>0.28899999999999998</v>
      </c>
      <c r="V271" s="201">
        <v>0.307</v>
      </c>
      <c r="W271" s="201">
        <v>0.32</v>
      </c>
      <c r="X271" s="179">
        <v>0.308</v>
      </c>
      <c r="Y271" s="179">
        <v>0.66300000000000003</v>
      </c>
      <c r="Z271" s="157">
        <v>0.624</v>
      </c>
      <c r="AA271" s="157">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79">
        <v>0.251</v>
      </c>
      <c r="O272">
        <v>0.23300000000000001</v>
      </c>
      <c r="P272">
        <v>0.23899999999999999</v>
      </c>
      <c r="Q272" s="199">
        <v>0.23499999999999999</v>
      </c>
      <c r="R272" s="165">
        <v>0.26100000000000001</v>
      </c>
      <c r="S272" s="165">
        <v>0.27200000000000002</v>
      </c>
      <c r="T272" s="165">
        <v>0.28199999999999997</v>
      </c>
      <c r="U272" s="198">
        <v>0.29499999999999998</v>
      </c>
      <c r="V272" s="166">
        <v>0.29299999999999998</v>
      </c>
      <c r="W272" s="166">
        <v>0.29299999999999998</v>
      </c>
      <c r="X272" s="179">
        <v>0.27500000000000002</v>
      </c>
      <c r="Y272" s="179">
        <v>0.16900000000000001</v>
      </c>
      <c r="Z272" s="157">
        <v>0.154</v>
      </c>
      <c r="AA272" s="157">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79">
        <v>0.45100000000000001</v>
      </c>
      <c r="O273">
        <v>0.46800000000000003</v>
      </c>
      <c r="P273">
        <v>0.48399999999999999</v>
      </c>
      <c r="Q273" s="199">
        <v>0.52300000000000002</v>
      </c>
      <c r="R273" s="165">
        <v>0.51400000000000001</v>
      </c>
      <c r="S273" s="165">
        <v>0.45700000000000002</v>
      </c>
      <c r="T273" s="165">
        <v>0.46</v>
      </c>
      <c r="U273" s="198">
        <v>0.47099999999999997</v>
      </c>
      <c r="V273" s="166">
        <v>0.48299999999999998</v>
      </c>
      <c r="W273" s="166">
        <v>0.46800000000000003</v>
      </c>
      <c r="X273" s="179">
        <v>0.437</v>
      </c>
      <c r="Y273" s="179">
        <v>0.52500000000000002</v>
      </c>
      <c r="Z273" s="157">
        <v>0.52300000000000002</v>
      </c>
      <c r="AA273" s="157">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79">
        <v>0.251</v>
      </c>
      <c r="O274">
        <v>0.27300000000000002</v>
      </c>
      <c r="P274">
        <v>0.30399999999999999</v>
      </c>
      <c r="Q274" s="199">
        <v>0.34300000000000003</v>
      </c>
      <c r="R274" s="165">
        <v>0.34599999999999997</v>
      </c>
      <c r="S274" s="165">
        <v>0.35</v>
      </c>
      <c r="T274" s="165">
        <v>0.34</v>
      </c>
      <c r="U274" s="198">
        <v>0.34699999999999998</v>
      </c>
      <c r="V274" s="166">
        <v>0.35199999999999998</v>
      </c>
      <c r="W274" s="166">
        <v>0.35099999999999998</v>
      </c>
      <c r="X274" s="179">
        <v>0.32500000000000001</v>
      </c>
      <c r="Y274" s="179">
        <v>0.373</v>
      </c>
      <c r="Z274" s="157">
        <v>0.20300000000000001</v>
      </c>
      <c r="AA274" s="157">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79">
        <v>0.36599999999999999</v>
      </c>
      <c r="O275">
        <v>0.40400000000000003</v>
      </c>
      <c r="P275">
        <v>0.42599999999999999</v>
      </c>
      <c r="Q275" s="199">
        <v>0.41199999999999998</v>
      </c>
      <c r="R275" s="165">
        <v>0.432</v>
      </c>
      <c r="S275" s="165">
        <v>0.45600000000000002</v>
      </c>
      <c r="T275" s="165">
        <v>0.46</v>
      </c>
      <c r="U275" s="198">
        <v>0.46400000000000002</v>
      </c>
      <c r="V275" s="166">
        <v>0.439</v>
      </c>
      <c r="W275" s="166">
        <v>0.46500000000000002</v>
      </c>
      <c r="X275" s="179">
        <v>0.46400000000000002</v>
      </c>
      <c r="Y275" s="179" t="s">
        <v>899</v>
      </c>
      <c r="Z275" s="157" t="s">
        <v>899</v>
      </c>
      <c r="AA275" s="157" t="s">
        <v>899</v>
      </c>
      <c r="AB275" s="157" t="s">
        <v>899</v>
      </c>
      <c r="AC275" s="157" t="s">
        <v>899</v>
      </c>
      <c r="AD275" s="157" t="s">
        <v>899</v>
      </c>
      <c r="AE275" s="157" t="s">
        <v>899</v>
      </c>
      <c r="AF275" s="157" t="s">
        <v>899</v>
      </c>
      <c r="AG275" s="157" t="s">
        <v>908</v>
      </c>
      <c r="AH275" s="157">
        <v>0</v>
      </c>
      <c r="AI275" s="157" t="s">
        <v>908</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79">
        <v>0.502</v>
      </c>
      <c r="O276">
        <v>0.48299999999999998</v>
      </c>
      <c r="P276">
        <v>0.41599999999999998</v>
      </c>
      <c r="Q276" s="199">
        <v>0.47699999999999998</v>
      </c>
      <c r="R276" s="165">
        <v>0.504</v>
      </c>
      <c r="S276" s="165">
        <v>0.52200000000000002</v>
      </c>
      <c r="T276" s="165">
        <v>0.57499999999999996</v>
      </c>
      <c r="U276" s="198">
        <v>0.59499999999999997</v>
      </c>
      <c r="V276" s="166">
        <v>0.621</v>
      </c>
      <c r="W276" s="166">
        <v>0.63</v>
      </c>
      <c r="X276" s="179">
        <v>0.64200000000000002</v>
      </c>
      <c r="Y276" s="179" t="s">
        <v>899</v>
      </c>
      <c r="Z276" s="157" t="s">
        <v>899</v>
      </c>
      <c r="AA276" s="157" t="s">
        <v>899</v>
      </c>
      <c r="AB276" s="157" t="s">
        <v>899</v>
      </c>
      <c r="AC276" s="157" t="s">
        <v>899</v>
      </c>
      <c r="AD276" s="157" t="s">
        <v>899</v>
      </c>
      <c r="AE276" s="157" t="s">
        <v>899</v>
      </c>
      <c r="AF276" s="157" t="s">
        <v>899</v>
      </c>
      <c r="AG276" s="157" t="s">
        <v>908</v>
      </c>
      <c r="AH276" s="157">
        <v>0</v>
      </c>
      <c r="AI276" s="157" t="s">
        <v>908</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79">
        <v>0.313</v>
      </c>
      <c r="O277">
        <v>0.317</v>
      </c>
      <c r="P277">
        <v>0.29299999999999998</v>
      </c>
      <c r="Q277" s="199">
        <v>0.36799999999999999</v>
      </c>
      <c r="R277" s="165">
        <v>0.40600000000000003</v>
      </c>
      <c r="S277" s="165">
        <v>0.39</v>
      </c>
      <c r="T277" s="165">
        <v>0.38900000000000001</v>
      </c>
      <c r="U277" s="198">
        <v>0.35899999999999999</v>
      </c>
      <c r="V277" s="166">
        <v>0.35399999999999998</v>
      </c>
      <c r="W277" s="166">
        <v>0.374</v>
      </c>
      <c r="X277" s="179">
        <v>0.314</v>
      </c>
      <c r="Y277" s="179" t="s">
        <v>899</v>
      </c>
      <c r="Z277" s="157" t="s">
        <v>899</v>
      </c>
      <c r="AA277" s="157" t="s">
        <v>899</v>
      </c>
      <c r="AB277" s="157" t="s">
        <v>899</v>
      </c>
      <c r="AC277" s="157" t="s">
        <v>899</v>
      </c>
      <c r="AD277" s="157" t="s">
        <v>899</v>
      </c>
      <c r="AE277" s="157" t="s">
        <v>899</v>
      </c>
      <c r="AF277" s="157" t="s">
        <v>899</v>
      </c>
      <c r="AG277" s="157" t="s">
        <v>908</v>
      </c>
      <c r="AH277" s="157">
        <v>0</v>
      </c>
      <c r="AI277" s="157" t="s">
        <v>908</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79">
        <v>0.50600000000000001</v>
      </c>
      <c r="O278">
        <v>0.53800000000000003</v>
      </c>
      <c r="P278">
        <v>0.52300000000000002</v>
      </c>
      <c r="Q278" s="199">
        <v>0.52600000000000002</v>
      </c>
      <c r="R278" s="165">
        <v>0.52800000000000002</v>
      </c>
      <c r="S278" s="165">
        <v>0.52400000000000002</v>
      </c>
      <c r="T278" s="165">
        <v>0.51900000000000002</v>
      </c>
      <c r="U278" s="198">
        <v>0.5</v>
      </c>
      <c r="V278" s="166">
        <v>0.499</v>
      </c>
      <c r="W278" s="166">
        <v>0.502</v>
      </c>
      <c r="X278" s="179">
        <v>0.496</v>
      </c>
      <c r="Y278" s="179" t="s">
        <v>899</v>
      </c>
      <c r="Z278" s="157" t="s">
        <v>899</v>
      </c>
      <c r="AA278" s="157" t="s">
        <v>899</v>
      </c>
      <c r="AB278" s="157" t="s">
        <v>899</v>
      </c>
      <c r="AC278" s="157" t="s">
        <v>899</v>
      </c>
      <c r="AD278" s="157" t="s">
        <v>899</v>
      </c>
      <c r="AE278" s="157" t="s">
        <v>899</v>
      </c>
      <c r="AF278" s="157" t="s">
        <v>899</v>
      </c>
      <c r="AG278" s="157" t="s">
        <v>908</v>
      </c>
      <c r="AH278" s="157">
        <v>0</v>
      </c>
      <c r="AI278" s="157" t="s">
        <v>908</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79">
        <v>0.53</v>
      </c>
      <c r="O279">
        <v>0.53700000000000003</v>
      </c>
      <c r="P279">
        <v>0.53600000000000003</v>
      </c>
      <c r="Q279" s="199">
        <v>0.52400000000000002</v>
      </c>
      <c r="R279" s="165">
        <v>0.51900000000000002</v>
      </c>
      <c r="S279" s="165">
        <v>0.503</v>
      </c>
      <c r="T279" s="165">
        <v>0.49199999999999999</v>
      </c>
      <c r="U279" s="198">
        <v>0.47499999999999998</v>
      </c>
      <c r="V279" s="166">
        <v>0.47499999999999998</v>
      </c>
      <c r="W279" s="166">
        <v>0.47799999999999998</v>
      </c>
      <c r="X279" s="179">
        <v>0.45500000000000002</v>
      </c>
      <c r="Y279" s="179">
        <v>0.251</v>
      </c>
      <c r="Z279" s="157">
        <v>0.22700000000000001</v>
      </c>
      <c r="AA279" s="157">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79">
        <v>0.60199999999999998</v>
      </c>
      <c r="O280">
        <v>0.58899999999999997</v>
      </c>
      <c r="P280">
        <v>0.54</v>
      </c>
      <c r="Q280" s="199">
        <v>0.50800000000000001</v>
      </c>
      <c r="R280" s="165">
        <v>0.55200000000000005</v>
      </c>
      <c r="S280" s="165">
        <v>0.56399999999999995</v>
      </c>
      <c r="T280" s="165">
        <v>0.57399999999999995</v>
      </c>
      <c r="U280" s="199">
        <v>0.56000000000000005</v>
      </c>
      <c r="V280" s="201">
        <v>0.56000000000000005</v>
      </c>
      <c r="W280" s="201">
        <v>0.56399999999999995</v>
      </c>
      <c r="X280" s="179">
        <v>0.57699999999999996</v>
      </c>
      <c r="Y280" s="179" t="s">
        <v>899</v>
      </c>
      <c r="Z280" s="157" t="s">
        <v>899</v>
      </c>
      <c r="AA280" s="157" t="s">
        <v>899</v>
      </c>
      <c r="AB280" s="157" t="s">
        <v>899</v>
      </c>
      <c r="AC280" s="157" t="s">
        <v>899</v>
      </c>
      <c r="AD280" s="157" t="s">
        <v>899</v>
      </c>
      <c r="AE280" s="157" t="s">
        <v>899</v>
      </c>
      <c r="AF280" s="157" t="s">
        <v>899</v>
      </c>
      <c r="AG280" s="157" t="s">
        <v>908</v>
      </c>
      <c r="AH280" s="157">
        <v>0</v>
      </c>
      <c r="AI280" s="157" t="s">
        <v>908</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s="278">
        <v>522.20000000000005</v>
      </c>
      <c r="K281" s="278">
        <v>497.7</v>
      </c>
      <c r="L281" s="165">
        <v>492.9</v>
      </c>
      <c r="M281" s="165">
        <v>534.70000000000005</v>
      </c>
      <c r="N281" s="179">
        <v>0.39100000000000001</v>
      </c>
      <c r="O281">
        <v>0.4</v>
      </c>
      <c r="P281">
        <v>0.36799999999999999</v>
      </c>
      <c r="Q281" s="199">
        <v>0.374</v>
      </c>
      <c r="R281" s="165">
        <v>0.38200000000000001</v>
      </c>
      <c r="S281" s="278">
        <v>0.39400000000000002</v>
      </c>
      <c r="T281" s="278">
        <v>0.39800000000000002</v>
      </c>
      <c r="U281" s="198">
        <v>0.38300000000000001</v>
      </c>
      <c r="V281" s="166">
        <v>0.4</v>
      </c>
      <c r="W281" s="166">
        <v>0.39500000000000002</v>
      </c>
      <c r="X281" s="179">
        <v>0.40200000000000002</v>
      </c>
      <c r="Y281" s="179" t="s">
        <v>899</v>
      </c>
      <c r="Z281" s="164" t="s">
        <v>899</v>
      </c>
      <c r="AA281" s="157" t="s">
        <v>899</v>
      </c>
      <c r="AB281" s="278" t="s">
        <v>899</v>
      </c>
      <c r="AC281" s="278" t="s">
        <v>899</v>
      </c>
      <c r="AD281" s="157" t="s">
        <v>899</v>
      </c>
      <c r="AE281" s="157" t="s">
        <v>899</v>
      </c>
      <c r="AF281" s="157" t="s">
        <v>899</v>
      </c>
      <c r="AG281" s="157" t="s">
        <v>908</v>
      </c>
      <c r="AH281" s="157">
        <v>0</v>
      </c>
      <c r="AI281" s="157" t="s">
        <v>908</v>
      </c>
      <c r="AJ281" s="157">
        <v>382.7</v>
      </c>
      <c r="AK281" s="278">
        <v>369.8</v>
      </c>
      <c r="AL281" s="278">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79">
        <v>0.49299999999999999</v>
      </c>
      <c r="O282">
        <v>0.626</v>
      </c>
      <c r="P282">
        <v>0.61</v>
      </c>
      <c r="Q282" s="199">
        <v>0.61099999999999999</v>
      </c>
      <c r="R282" s="165">
        <v>0.60699999999999998</v>
      </c>
      <c r="S282" s="165">
        <v>0.59399999999999997</v>
      </c>
      <c r="T282" s="165">
        <v>0.59</v>
      </c>
      <c r="U282" s="198">
        <v>0.57499999999999996</v>
      </c>
      <c r="V282" s="166">
        <v>0.58299999999999996</v>
      </c>
      <c r="W282" s="166">
        <v>0.58499999999999996</v>
      </c>
      <c r="X282" s="179">
        <v>0.55000000000000004</v>
      </c>
      <c r="Y282" s="179" t="s">
        <v>899</v>
      </c>
      <c r="Z282" s="157" t="s">
        <v>899</v>
      </c>
      <c r="AA282" s="157" t="s">
        <v>899</v>
      </c>
      <c r="AB282" s="157" t="s">
        <v>899</v>
      </c>
      <c r="AC282" s="157" t="s">
        <v>899</v>
      </c>
      <c r="AD282" s="157" t="s">
        <v>899</v>
      </c>
      <c r="AE282" s="157" t="s">
        <v>899</v>
      </c>
      <c r="AF282" s="157" t="s">
        <v>899</v>
      </c>
      <c r="AG282" s="157" t="s">
        <v>908</v>
      </c>
      <c r="AH282" s="157">
        <v>0</v>
      </c>
      <c r="AI282" s="157" t="s">
        <v>908</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79">
        <v>0.29799999999999999</v>
      </c>
      <c r="O283">
        <v>0.28199999999999997</v>
      </c>
      <c r="P283">
        <v>0.28899999999999998</v>
      </c>
      <c r="Q283" s="199">
        <v>0.28000000000000003</v>
      </c>
      <c r="R283" s="165">
        <v>0.26600000000000001</v>
      </c>
      <c r="S283" s="165">
        <v>0.25700000000000001</v>
      </c>
      <c r="T283" s="165">
        <v>0.25800000000000001</v>
      </c>
      <c r="U283" s="198">
        <v>0.249</v>
      </c>
      <c r="V283" s="166">
        <v>0.26400000000000001</v>
      </c>
      <c r="W283" s="166">
        <v>0.26500000000000001</v>
      </c>
      <c r="X283" s="179">
        <v>0.24299999999999999</v>
      </c>
      <c r="Y283" s="179">
        <v>0.14799999999999999</v>
      </c>
      <c r="Z283" s="157">
        <v>7.9000000000000001E-2</v>
      </c>
      <c r="AA283" s="157">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79">
        <v>0.39300000000000002</v>
      </c>
      <c r="O284">
        <v>0.38500000000000001</v>
      </c>
      <c r="P284">
        <v>0.36599999999999999</v>
      </c>
      <c r="Q284" s="199">
        <v>0.34300000000000003</v>
      </c>
      <c r="R284" s="165">
        <v>0.33700000000000002</v>
      </c>
      <c r="S284" s="165">
        <v>0.36099999999999999</v>
      </c>
      <c r="T284" s="165">
        <v>0.34799999999999998</v>
      </c>
      <c r="U284" s="198">
        <v>0.34899999999999998</v>
      </c>
      <c r="V284" s="166">
        <v>0.36299999999999999</v>
      </c>
      <c r="W284" s="166">
        <v>0.34799999999999998</v>
      </c>
      <c r="X284" s="179">
        <v>0.317</v>
      </c>
      <c r="Y284" s="179">
        <v>0.14599999999999999</v>
      </c>
      <c r="Z284" s="157">
        <v>0.17100000000000001</v>
      </c>
      <c r="AA284" s="157">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79">
        <v>0.59299999999999997</v>
      </c>
      <c r="O285">
        <v>0.57299999999999995</v>
      </c>
      <c r="P285">
        <v>0.60299999999999998</v>
      </c>
      <c r="Q285" s="199">
        <v>0.59099999999999997</v>
      </c>
      <c r="R285" s="165">
        <v>0.60299999999999998</v>
      </c>
      <c r="S285" s="165">
        <v>0.60399999999999998</v>
      </c>
      <c r="T285" s="165">
        <v>0.61299999999999999</v>
      </c>
      <c r="U285" s="198">
        <v>0.60299999999999998</v>
      </c>
      <c r="V285" s="166">
        <v>0.59599999999999997</v>
      </c>
      <c r="W285" s="166">
        <v>0.60499999999999998</v>
      </c>
      <c r="X285" s="179">
        <v>0.59399999999999997</v>
      </c>
      <c r="Y285" s="179" t="s">
        <v>899</v>
      </c>
      <c r="Z285" s="157" t="s">
        <v>899</v>
      </c>
      <c r="AA285" s="157" t="s">
        <v>899</v>
      </c>
      <c r="AB285" s="157" t="s">
        <v>899</v>
      </c>
      <c r="AC285" s="157" t="s">
        <v>899</v>
      </c>
      <c r="AD285" s="157" t="s">
        <v>899</v>
      </c>
      <c r="AE285" s="157" t="s">
        <v>899</v>
      </c>
      <c r="AF285" s="157" t="s">
        <v>899</v>
      </c>
      <c r="AG285" s="157" t="s">
        <v>908</v>
      </c>
      <c r="AH285" s="157">
        <v>0</v>
      </c>
      <c r="AI285" s="157" t="s">
        <v>908</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79">
        <v>0.246</v>
      </c>
      <c r="O286">
        <v>0.246</v>
      </c>
      <c r="P286">
        <v>0.28899999999999998</v>
      </c>
      <c r="Q286" s="199">
        <v>0.311</v>
      </c>
      <c r="R286" s="165">
        <v>0.30399999999999999</v>
      </c>
      <c r="S286" s="165">
        <v>0.315</v>
      </c>
      <c r="T286" s="165">
        <v>0.45500000000000002</v>
      </c>
      <c r="U286" s="198">
        <v>0.61199999999999999</v>
      </c>
      <c r="V286" s="166">
        <v>0.60199999999999998</v>
      </c>
      <c r="W286" s="166">
        <v>0.59699999999999998</v>
      </c>
      <c r="X286" s="179">
        <v>0.59399999999999997</v>
      </c>
      <c r="Y286" s="179" t="s">
        <v>899</v>
      </c>
      <c r="Z286" s="157" t="s">
        <v>899</v>
      </c>
      <c r="AA286" s="157" t="s">
        <v>899</v>
      </c>
      <c r="AB286" s="157" t="s">
        <v>899</v>
      </c>
      <c r="AC286" s="157" t="s">
        <v>899</v>
      </c>
      <c r="AD286" s="157" t="s">
        <v>899</v>
      </c>
      <c r="AE286" s="157" t="s">
        <v>899</v>
      </c>
      <c r="AF286" s="157" t="s">
        <v>899</v>
      </c>
      <c r="AG286" s="157" t="s">
        <v>908</v>
      </c>
      <c r="AH286" s="157">
        <v>0</v>
      </c>
      <c r="AI286" s="157" t="s">
        <v>908</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79">
        <v>0.53800000000000003</v>
      </c>
      <c r="O287">
        <v>0.53200000000000003</v>
      </c>
      <c r="P287">
        <v>0.52400000000000002</v>
      </c>
      <c r="Q287" s="199">
        <v>0.53</v>
      </c>
      <c r="R287" s="165">
        <v>0.53100000000000003</v>
      </c>
      <c r="S287" s="165">
        <v>0.53</v>
      </c>
      <c r="T287" s="165">
        <v>0.501</v>
      </c>
      <c r="U287" s="198">
        <v>0.48</v>
      </c>
      <c r="V287" s="166">
        <v>0.47099999999999997</v>
      </c>
      <c r="W287" s="166">
        <v>0.436</v>
      </c>
      <c r="X287" s="179">
        <v>0.39300000000000002</v>
      </c>
      <c r="Y287" s="179">
        <v>0.372</v>
      </c>
      <c r="Z287" s="157">
        <v>0.40699999999999997</v>
      </c>
      <c r="AA287" s="157">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79">
        <v>0.312</v>
      </c>
      <c r="O288">
        <v>0.36899999999999999</v>
      </c>
      <c r="P288">
        <v>0.34100000000000003</v>
      </c>
      <c r="Q288" s="199">
        <v>0.32400000000000001</v>
      </c>
      <c r="R288" s="165">
        <v>0.30599999999999999</v>
      </c>
      <c r="S288" s="165">
        <v>0.29399999999999998</v>
      </c>
      <c r="T288" s="165">
        <v>0.26500000000000001</v>
      </c>
      <c r="U288" s="198">
        <v>0.27100000000000002</v>
      </c>
      <c r="V288" s="166">
        <v>0.27100000000000002</v>
      </c>
      <c r="W288" s="166">
        <v>0.27300000000000002</v>
      </c>
      <c r="X288" s="179">
        <v>0.28100000000000003</v>
      </c>
      <c r="Y288" s="179">
        <v>0.65200000000000002</v>
      </c>
      <c r="Z288" s="157">
        <v>0.60599999999999998</v>
      </c>
      <c r="AA288" s="157">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79">
        <v>0.46400000000000002</v>
      </c>
      <c r="O289">
        <v>0.51500000000000001</v>
      </c>
      <c r="P289">
        <v>0.52100000000000002</v>
      </c>
      <c r="Q289" s="199">
        <v>0.51500000000000001</v>
      </c>
      <c r="R289" s="165">
        <v>0.53200000000000003</v>
      </c>
      <c r="S289" s="165">
        <v>0.55000000000000004</v>
      </c>
      <c r="T289" s="165">
        <v>0.57699999999999996</v>
      </c>
      <c r="U289" s="198">
        <v>0.54800000000000004</v>
      </c>
      <c r="V289" s="166">
        <v>0.55300000000000005</v>
      </c>
      <c r="W289" s="166">
        <v>0.56000000000000005</v>
      </c>
      <c r="X289" s="179">
        <v>0.55100000000000005</v>
      </c>
      <c r="Y289" s="179">
        <v>0.32400000000000001</v>
      </c>
      <c r="Z289" s="157">
        <v>0.15</v>
      </c>
      <c r="AA289" s="157">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79">
        <v>0.64700000000000002</v>
      </c>
      <c r="O290">
        <v>0.65</v>
      </c>
      <c r="P290">
        <v>0.63800000000000001</v>
      </c>
      <c r="Q290" s="199">
        <v>0.58099999999999996</v>
      </c>
      <c r="R290" s="165">
        <v>0.63300000000000001</v>
      </c>
      <c r="S290" s="165">
        <v>0.621</v>
      </c>
      <c r="T290" s="165">
        <v>0.623</v>
      </c>
      <c r="U290" s="199">
        <v>0.61399999999999999</v>
      </c>
      <c r="V290" s="201">
        <v>0.61899999999999999</v>
      </c>
      <c r="W290" s="201">
        <v>0.629</v>
      </c>
      <c r="X290" s="179">
        <v>0.61299999999999999</v>
      </c>
      <c r="Y290" s="179" t="s">
        <v>899</v>
      </c>
      <c r="Z290" s="157" t="s">
        <v>899</v>
      </c>
      <c r="AA290" s="157" t="s">
        <v>899</v>
      </c>
      <c r="AB290" s="157" t="s">
        <v>899</v>
      </c>
      <c r="AC290" s="157" t="s">
        <v>899</v>
      </c>
      <c r="AD290" s="157" t="s">
        <v>899</v>
      </c>
      <c r="AE290" s="157" t="s">
        <v>899</v>
      </c>
      <c r="AF290" s="157" t="s">
        <v>899</v>
      </c>
      <c r="AG290" s="157" t="s">
        <v>908</v>
      </c>
      <c r="AH290" s="157">
        <v>0</v>
      </c>
      <c r="AI290" s="157" t="s">
        <v>908</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79">
        <v>0.375</v>
      </c>
      <c r="O291">
        <v>0.374</v>
      </c>
      <c r="P291">
        <v>0.36499999999999999</v>
      </c>
      <c r="Q291" s="199">
        <v>0.371</v>
      </c>
      <c r="R291" s="165">
        <v>0.376</v>
      </c>
      <c r="S291" s="165">
        <v>0.34699999999999998</v>
      </c>
      <c r="T291" s="165">
        <v>0.36499999999999999</v>
      </c>
      <c r="U291" s="199">
        <v>0.5</v>
      </c>
      <c r="V291" s="201">
        <v>0.49099999999999999</v>
      </c>
      <c r="W291" s="201">
        <v>0.48499999999999999</v>
      </c>
      <c r="X291" s="179">
        <v>0.46100000000000002</v>
      </c>
      <c r="Y291" s="179">
        <v>0.59399999999999997</v>
      </c>
      <c r="Z291" s="157">
        <v>0.54300000000000004</v>
      </c>
      <c r="AA291" s="157">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79">
        <v>0.32200000000000001</v>
      </c>
      <c r="O292">
        <v>0.32</v>
      </c>
      <c r="P292">
        <v>0.32200000000000001</v>
      </c>
      <c r="Q292" s="199">
        <v>0.34200000000000003</v>
      </c>
      <c r="R292" s="165">
        <v>0.40300000000000002</v>
      </c>
      <c r="S292" s="165">
        <v>0.36899999999999999</v>
      </c>
      <c r="T292" s="165">
        <v>0.41599999999999998</v>
      </c>
      <c r="U292" s="198">
        <v>0.41199999999999998</v>
      </c>
      <c r="V292" s="166">
        <v>0.42699999999999999</v>
      </c>
      <c r="W292" s="166">
        <v>0.40500000000000003</v>
      </c>
      <c r="X292" s="179">
        <v>0.41399999999999998</v>
      </c>
      <c r="Y292" s="179" t="s">
        <v>899</v>
      </c>
      <c r="Z292" s="157" t="s">
        <v>899</v>
      </c>
      <c r="AA292" s="157" t="s">
        <v>899</v>
      </c>
      <c r="AB292" s="157" t="s">
        <v>899</v>
      </c>
      <c r="AC292" s="157" t="s">
        <v>899</v>
      </c>
      <c r="AD292" s="157" t="s">
        <v>899</v>
      </c>
      <c r="AE292" s="157" t="s">
        <v>899</v>
      </c>
      <c r="AF292" s="157" t="s">
        <v>899</v>
      </c>
      <c r="AG292" s="157" t="s">
        <v>908</v>
      </c>
      <c r="AH292" s="157">
        <v>0</v>
      </c>
      <c r="AI292" s="157" t="s">
        <v>908</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79">
        <v>0.5</v>
      </c>
      <c r="O293">
        <v>0.48199999999999998</v>
      </c>
      <c r="P293">
        <v>0.443</v>
      </c>
      <c r="Q293" s="199">
        <v>0.41799999999999998</v>
      </c>
      <c r="R293" s="165">
        <v>0.35799999999999998</v>
      </c>
      <c r="S293" s="165">
        <v>0.371</v>
      </c>
      <c r="T293" s="165">
        <v>0.38400000000000001</v>
      </c>
      <c r="U293" s="198">
        <v>0.39300000000000002</v>
      </c>
      <c r="V293" s="166">
        <v>0.42099999999999999</v>
      </c>
      <c r="W293" s="166">
        <v>0.42799999999999999</v>
      </c>
      <c r="X293" s="179">
        <v>0.39600000000000002</v>
      </c>
      <c r="Y293" s="179">
        <v>0.52500000000000002</v>
      </c>
      <c r="Z293" s="157">
        <v>0.52100000000000002</v>
      </c>
      <c r="AA293" s="157">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79">
        <v>0.35099999999999998</v>
      </c>
      <c r="O294">
        <v>0.34399999999999997</v>
      </c>
      <c r="P294">
        <v>0.37</v>
      </c>
      <c r="Q294" s="199">
        <v>0.39500000000000002</v>
      </c>
      <c r="R294" s="165">
        <v>0.40799999999999997</v>
      </c>
      <c r="S294" s="165">
        <v>0.48599999999999999</v>
      </c>
      <c r="T294" s="165">
        <v>0.52800000000000002</v>
      </c>
      <c r="U294" s="198">
        <v>0.52400000000000002</v>
      </c>
      <c r="V294" s="166">
        <v>0.50900000000000001</v>
      </c>
      <c r="W294" s="166">
        <v>0.49299999999999999</v>
      </c>
      <c r="X294" s="179">
        <v>0.47199999999999998</v>
      </c>
      <c r="Y294" s="179" t="s">
        <v>899</v>
      </c>
      <c r="Z294" s="157" t="s">
        <v>899</v>
      </c>
      <c r="AA294" s="157" t="s">
        <v>899</v>
      </c>
      <c r="AB294" s="157" t="s">
        <v>899</v>
      </c>
      <c r="AC294" s="157" t="s">
        <v>899</v>
      </c>
      <c r="AD294" s="157" t="s">
        <v>899</v>
      </c>
      <c r="AE294" s="157" t="s">
        <v>899</v>
      </c>
      <c r="AF294" s="157" t="s">
        <v>899</v>
      </c>
      <c r="AG294" s="157" t="s">
        <v>908</v>
      </c>
      <c r="AH294" s="157">
        <v>0</v>
      </c>
      <c r="AI294" s="157" t="s">
        <v>908</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79">
        <v>0.47199999999999998</v>
      </c>
      <c r="O295">
        <v>0.49199999999999999</v>
      </c>
      <c r="P295">
        <v>0.51100000000000001</v>
      </c>
      <c r="Q295" s="199">
        <v>0.51800000000000002</v>
      </c>
      <c r="R295" s="165">
        <v>0.49299999999999999</v>
      </c>
      <c r="S295" s="165">
        <v>0.45700000000000002</v>
      </c>
      <c r="T295" s="165">
        <v>0.45800000000000002</v>
      </c>
      <c r="U295" s="198">
        <v>0.42799999999999999</v>
      </c>
      <c r="V295" s="166">
        <v>0.39800000000000002</v>
      </c>
      <c r="W295" s="166">
        <v>0.40400000000000003</v>
      </c>
      <c r="X295" s="179">
        <v>0.38500000000000001</v>
      </c>
      <c r="Y295" s="179" t="s">
        <v>899</v>
      </c>
      <c r="Z295" s="157" t="s">
        <v>899</v>
      </c>
      <c r="AA295" s="157" t="s">
        <v>899</v>
      </c>
      <c r="AB295" s="157" t="s">
        <v>899</v>
      </c>
      <c r="AC295" s="157" t="s">
        <v>899</v>
      </c>
      <c r="AD295" s="157" t="s">
        <v>899</v>
      </c>
      <c r="AE295" s="157" t="s">
        <v>899</v>
      </c>
      <c r="AF295" s="157" t="s">
        <v>899</v>
      </c>
      <c r="AG295" s="157" t="s">
        <v>908</v>
      </c>
      <c r="AH295" s="157">
        <v>0</v>
      </c>
      <c r="AI295" s="157" t="s">
        <v>908</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79">
        <v>0.33300000000000002</v>
      </c>
      <c r="O296">
        <v>0.33600000000000002</v>
      </c>
      <c r="P296">
        <v>0.43</v>
      </c>
      <c r="Q296" s="199">
        <v>0.51</v>
      </c>
      <c r="R296" s="165">
        <v>0.51700000000000002</v>
      </c>
      <c r="S296" s="165">
        <v>0.53100000000000003</v>
      </c>
      <c r="T296" s="165">
        <v>0.57699999999999996</v>
      </c>
      <c r="U296" s="198">
        <v>0.58399999999999996</v>
      </c>
      <c r="V296" s="166">
        <v>0.58099999999999996</v>
      </c>
      <c r="W296" s="166">
        <v>0.59099999999999997</v>
      </c>
      <c r="X296" s="179">
        <v>0.59899999999999998</v>
      </c>
      <c r="Y296" s="179" t="s">
        <v>899</v>
      </c>
      <c r="Z296" s="157" t="s">
        <v>899</v>
      </c>
      <c r="AA296" s="157" t="s">
        <v>899</v>
      </c>
      <c r="AB296" s="157" t="s">
        <v>899</v>
      </c>
      <c r="AC296" s="157" t="s">
        <v>899</v>
      </c>
      <c r="AD296" s="157" t="s">
        <v>899</v>
      </c>
      <c r="AE296" s="157" t="s">
        <v>899</v>
      </c>
      <c r="AF296" s="157" t="s">
        <v>899</v>
      </c>
      <c r="AG296" s="157" t="s">
        <v>908</v>
      </c>
      <c r="AH296" s="157">
        <v>0</v>
      </c>
      <c r="AI296" s="157" t="s">
        <v>908</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t="s">
        <v>899</v>
      </c>
      <c r="L297" t="s">
        <v>899</v>
      </c>
      <c r="M297" t="s">
        <v>899</v>
      </c>
      <c r="N297" t="s">
        <v>899</v>
      </c>
      <c r="O297" t="s">
        <v>899</v>
      </c>
      <c r="P297" t="s">
        <v>899</v>
      </c>
      <c r="Q297" t="s">
        <v>899</v>
      </c>
      <c r="R297" t="s">
        <v>899</v>
      </c>
      <c r="S297" t="s">
        <v>899</v>
      </c>
      <c r="T297" t="s">
        <v>899</v>
      </c>
      <c r="U297" t="s">
        <v>899</v>
      </c>
      <c r="V297" t="s">
        <v>899</v>
      </c>
      <c r="W297" t="s">
        <v>899</v>
      </c>
      <c r="X297" t="s">
        <v>899</v>
      </c>
      <c r="Y297" t="s">
        <v>899</v>
      </c>
      <c r="Z297" t="s">
        <v>899</v>
      </c>
      <c r="AA297" t="s">
        <v>899</v>
      </c>
      <c r="AB297" t="s">
        <v>899</v>
      </c>
      <c r="AC297" t="s">
        <v>899</v>
      </c>
      <c r="AD297" t="s">
        <v>899</v>
      </c>
      <c r="AE297" t="s">
        <v>899</v>
      </c>
      <c r="AF297" t="s">
        <v>899</v>
      </c>
      <c r="AG297" t="s">
        <v>899</v>
      </c>
      <c r="AH297" t="s">
        <v>899</v>
      </c>
      <c r="AI297" t="s">
        <v>899</v>
      </c>
      <c r="AJ297" t="s">
        <v>899</v>
      </c>
      <c r="AK297" t="s">
        <v>899</v>
      </c>
      <c r="AL297" t="s">
        <v>899</v>
      </c>
      <c r="AM297" t="s">
        <v>899</v>
      </c>
      <c r="AN297" t="s">
        <v>899</v>
      </c>
      <c r="AO297" t="s">
        <v>899</v>
      </c>
      <c r="AP297" t="s">
        <v>899</v>
      </c>
      <c r="AQ297" t="s">
        <v>899</v>
      </c>
      <c r="AR297" t="s">
        <v>899</v>
      </c>
      <c r="AS297" t="s">
        <v>899</v>
      </c>
      <c r="AT29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79">
        <v>0.57099999999999995</v>
      </c>
      <c r="O298">
        <v>0.57299999999999995</v>
      </c>
      <c r="P298">
        <v>0.56399999999999995</v>
      </c>
      <c r="Q298" s="199">
        <v>0.53600000000000003</v>
      </c>
      <c r="R298" s="165">
        <v>0.53700000000000003</v>
      </c>
      <c r="S298" s="165">
        <v>0.54300000000000004</v>
      </c>
      <c r="T298" s="165">
        <v>0.55700000000000005</v>
      </c>
      <c r="U298" s="198">
        <v>0.55400000000000005</v>
      </c>
      <c r="V298" s="166">
        <v>0.56299999999999994</v>
      </c>
      <c r="W298" s="166">
        <v>0.56299999999999994</v>
      </c>
      <c r="X298" s="179">
        <v>0.55900000000000005</v>
      </c>
      <c r="Y298" s="179" t="s">
        <v>899</v>
      </c>
      <c r="Z298" s="157" t="s">
        <v>899</v>
      </c>
      <c r="AA298" s="157" t="s">
        <v>899</v>
      </c>
      <c r="AB298" s="157" t="s">
        <v>899</v>
      </c>
      <c r="AC298" s="157" t="s">
        <v>899</v>
      </c>
      <c r="AD298" s="157" t="s">
        <v>899</v>
      </c>
      <c r="AE298" s="157" t="s">
        <v>899</v>
      </c>
      <c r="AF298" s="157" t="s">
        <v>899</v>
      </c>
      <c r="AG298" s="157" t="s">
        <v>908</v>
      </c>
      <c r="AH298" s="157">
        <v>0</v>
      </c>
      <c r="AI298" s="157" t="s">
        <v>908</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79">
        <v>0.437</v>
      </c>
      <c r="O299">
        <v>0.432</v>
      </c>
      <c r="P299">
        <v>0.432</v>
      </c>
      <c r="Q299" s="199">
        <v>0.44800000000000001</v>
      </c>
      <c r="R299" s="165">
        <v>0.47599999999999998</v>
      </c>
      <c r="S299" s="165">
        <v>0.48</v>
      </c>
      <c r="T299" s="165">
        <v>0.45800000000000002</v>
      </c>
      <c r="U299" s="199">
        <v>0.432</v>
      </c>
      <c r="V299" s="201">
        <v>0.44800000000000001</v>
      </c>
      <c r="W299" s="201">
        <v>0.47</v>
      </c>
      <c r="X299" s="179">
        <v>0.48199999999999998</v>
      </c>
      <c r="Y299" s="179">
        <v>0.58099999999999996</v>
      </c>
      <c r="Z299" s="157">
        <v>0.58799999999999997</v>
      </c>
      <c r="AA299" s="157">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79">
        <v>0.28799999999999998</v>
      </c>
      <c r="O300">
        <v>0.28000000000000003</v>
      </c>
      <c r="P300">
        <v>0.28699999999999998</v>
      </c>
      <c r="Q300" s="199">
        <v>0.27</v>
      </c>
      <c r="R300" s="165">
        <v>0.26300000000000001</v>
      </c>
      <c r="S300" s="165">
        <v>0.26200000000000001</v>
      </c>
      <c r="T300" s="165">
        <v>0.26800000000000002</v>
      </c>
      <c r="U300" s="198">
        <v>0.27</v>
      </c>
      <c r="V300" s="166">
        <v>0.27300000000000002</v>
      </c>
      <c r="W300" s="166">
        <v>0.35099999999999998</v>
      </c>
      <c r="X300" s="179">
        <v>0.40200000000000002</v>
      </c>
      <c r="Y300" s="179" t="s">
        <v>899</v>
      </c>
      <c r="Z300" s="157" t="s">
        <v>899</v>
      </c>
      <c r="AA300" s="157" t="s">
        <v>899</v>
      </c>
      <c r="AB300" s="157" t="s">
        <v>899</v>
      </c>
      <c r="AC300" s="157" t="s">
        <v>899</v>
      </c>
      <c r="AD300" s="157" t="s">
        <v>899</v>
      </c>
      <c r="AE300" s="157" t="s">
        <v>899</v>
      </c>
      <c r="AF300" s="157" t="s">
        <v>899</v>
      </c>
      <c r="AG300" s="157" t="s">
        <v>908</v>
      </c>
      <c r="AH300" s="157">
        <v>0</v>
      </c>
      <c r="AI300" s="157" t="s">
        <v>908</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79">
        <v>0.36</v>
      </c>
      <c r="O301">
        <v>0.34699999999999998</v>
      </c>
      <c r="P301">
        <v>0.33600000000000002</v>
      </c>
      <c r="Q301" s="198">
        <v>0.318</v>
      </c>
      <c r="R301" s="196">
        <v>0.32</v>
      </c>
      <c r="S301" s="196">
        <v>0.32600000000000001</v>
      </c>
      <c r="T301" s="196">
        <v>0.33</v>
      </c>
      <c r="U301" s="198">
        <v>0.36</v>
      </c>
      <c r="V301" s="166">
        <v>0.36</v>
      </c>
      <c r="W301" s="166">
        <v>0.36899999999999999</v>
      </c>
      <c r="X301" s="179">
        <v>0.376</v>
      </c>
      <c r="Y301" s="179" t="s">
        <v>899</v>
      </c>
      <c r="Z301" s="157" t="s">
        <v>899</v>
      </c>
      <c r="AA301" s="157" t="s">
        <v>899</v>
      </c>
      <c r="AB301" s="157" t="s">
        <v>899</v>
      </c>
      <c r="AC301" s="157" t="s">
        <v>899</v>
      </c>
      <c r="AD301" s="157" t="s">
        <v>899</v>
      </c>
      <c r="AE301" s="157" t="s">
        <v>899</v>
      </c>
      <c r="AF301" s="157" t="s">
        <v>899</v>
      </c>
      <c r="AG301" s="157" t="s">
        <v>908</v>
      </c>
      <c r="AH301" s="157">
        <v>0</v>
      </c>
      <c r="AI301" s="157" t="s">
        <v>908</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79">
        <v>0.53600000000000003</v>
      </c>
      <c r="O302">
        <v>0.53300000000000003</v>
      </c>
      <c r="P302">
        <v>0.53200000000000003</v>
      </c>
      <c r="Q302" s="199">
        <v>0.51200000000000001</v>
      </c>
      <c r="R302" s="165">
        <v>0.50700000000000001</v>
      </c>
      <c r="S302" s="165">
        <v>0.50700000000000001</v>
      </c>
      <c r="T302" s="165">
        <v>0.53300000000000003</v>
      </c>
      <c r="U302" s="198">
        <v>0.54500000000000004</v>
      </c>
      <c r="V302" s="166">
        <v>0.52600000000000002</v>
      </c>
      <c r="W302" s="166">
        <v>0.51500000000000001</v>
      </c>
      <c r="X302" s="179">
        <v>0.48599999999999999</v>
      </c>
      <c r="Y302" s="179" t="s">
        <v>899</v>
      </c>
      <c r="Z302" s="157" t="s">
        <v>899</v>
      </c>
      <c r="AA302" s="157" t="s">
        <v>899</v>
      </c>
      <c r="AB302" s="157" t="s">
        <v>899</v>
      </c>
      <c r="AC302" s="157" t="s">
        <v>899</v>
      </c>
      <c r="AD302" s="157" t="s">
        <v>899</v>
      </c>
      <c r="AE302" s="157" t="s">
        <v>899</v>
      </c>
      <c r="AF302" s="157" t="s">
        <v>899</v>
      </c>
      <c r="AG302" s="157" t="s">
        <v>908</v>
      </c>
      <c r="AH302" s="157">
        <v>0</v>
      </c>
      <c r="AI302" s="157" t="s">
        <v>908</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79">
        <v>0.28599999999999998</v>
      </c>
      <c r="O303">
        <v>0.26900000000000002</v>
      </c>
      <c r="P303">
        <v>0.26800000000000002</v>
      </c>
      <c r="Q303" s="199">
        <v>0.30299999999999999</v>
      </c>
      <c r="R303" s="165">
        <v>0.33900000000000002</v>
      </c>
      <c r="S303" s="165">
        <v>0.316</v>
      </c>
      <c r="T303" s="165">
        <v>0.33800000000000002</v>
      </c>
      <c r="U303" s="198">
        <v>0.34899999999999998</v>
      </c>
      <c r="V303" s="166">
        <v>0.36299999999999999</v>
      </c>
      <c r="W303" s="166">
        <v>0.34799999999999998</v>
      </c>
      <c r="X303" s="179">
        <v>0.35</v>
      </c>
      <c r="Y303" s="179" t="s">
        <v>899</v>
      </c>
      <c r="Z303" s="157" t="s">
        <v>899</v>
      </c>
      <c r="AA303" s="157" t="s">
        <v>899</v>
      </c>
      <c r="AB303" s="157" t="s">
        <v>899</v>
      </c>
      <c r="AC303" s="157" t="s">
        <v>899</v>
      </c>
      <c r="AD303" s="157" t="s">
        <v>899</v>
      </c>
      <c r="AE303" s="157" t="s">
        <v>899</v>
      </c>
      <c r="AF303" s="157" t="s">
        <v>899</v>
      </c>
      <c r="AG303" s="157" t="s">
        <v>908</v>
      </c>
      <c r="AH303" s="157">
        <v>0</v>
      </c>
      <c r="AI303" s="157" t="s">
        <v>908</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79">
        <v>0.50900000000000001</v>
      </c>
      <c r="O304">
        <v>0.60499999999999998</v>
      </c>
      <c r="P304">
        <v>0.62</v>
      </c>
      <c r="Q304" s="199">
        <v>0.624</v>
      </c>
      <c r="R304" s="165">
        <v>0.63200000000000001</v>
      </c>
      <c r="S304" s="165">
        <v>0.59399999999999997</v>
      </c>
      <c r="T304" s="165">
        <v>0.61899999999999999</v>
      </c>
      <c r="U304" s="199">
        <v>0.624</v>
      </c>
      <c r="V304" s="201">
        <v>0.63</v>
      </c>
      <c r="W304" s="201">
        <v>0.64100000000000001</v>
      </c>
      <c r="X304" s="179">
        <v>0.63100000000000001</v>
      </c>
      <c r="Y304" s="179" t="s">
        <v>899</v>
      </c>
      <c r="Z304" s="157" t="s">
        <v>899</v>
      </c>
      <c r="AA304" s="157" t="s">
        <v>899</v>
      </c>
      <c r="AB304" s="157" t="s">
        <v>899</v>
      </c>
      <c r="AC304" s="157" t="s">
        <v>899</v>
      </c>
      <c r="AD304" s="157" t="s">
        <v>899</v>
      </c>
      <c r="AE304" s="157" t="s">
        <v>899</v>
      </c>
      <c r="AF304" s="157" t="s">
        <v>899</v>
      </c>
      <c r="AG304" s="157" t="s">
        <v>908</v>
      </c>
      <c r="AH304" s="157">
        <v>0</v>
      </c>
      <c r="AI304" s="157" t="s">
        <v>908</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79">
        <v>0.44500000000000001</v>
      </c>
      <c r="O305">
        <v>0.42399999999999999</v>
      </c>
      <c r="P305">
        <v>0.43</v>
      </c>
      <c r="Q305" s="199">
        <v>0.40899999999999997</v>
      </c>
      <c r="R305" s="165">
        <v>0.40400000000000003</v>
      </c>
      <c r="S305" s="165">
        <v>0.379</v>
      </c>
      <c r="T305" s="165">
        <v>0.371</v>
      </c>
      <c r="U305" s="198">
        <v>0.36</v>
      </c>
      <c r="V305" s="166">
        <v>0.35</v>
      </c>
      <c r="W305" s="166">
        <v>0.34799999999999998</v>
      </c>
      <c r="X305" s="179">
        <v>0.28000000000000003</v>
      </c>
      <c r="Y305" s="179">
        <v>0.309</v>
      </c>
      <c r="Z305" s="157">
        <v>0.28299999999999997</v>
      </c>
      <c r="AA305" s="157">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79">
        <v>0.44600000000000001</v>
      </c>
      <c r="O306">
        <v>0.45</v>
      </c>
      <c r="P306">
        <v>0.433</v>
      </c>
      <c r="Q306" s="199">
        <v>0.43099999999999999</v>
      </c>
      <c r="R306" s="165">
        <v>0.42399999999999999</v>
      </c>
      <c r="S306" s="165">
        <v>0.41499999999999998</v>
      </c>
      <c r="T306" s="165">
        <v>0.42499999999999999</v>
      </c>
      <c r="U306" s="198">
        <v>0.41699999999999998</v>
      </c>
      <c r="V306" s="166">
        <v>0.41899999999999998</v>
      </c>
      <c r="W306" s="166">
        <v>0.46400000000000002</v>
      </c>
      <c r="X306" s="179">
        <v>0.51600000000000001</v>
      </c>
      <c r="Y306" s="179" t="s">
        <v>899</v>
      </c>
      <c r="Z306" s="157" t="s">
        <v>899</v>
      </c>
      <c r="AA306" s="157" t="s">
        <v>899</v>
      </c>
      <c r="AB306" s="157" t="s">
        <v>899</v>
      </c>
      <c r="AC306" s="157" t="s">
        <v>899</v>
      </c>
      <c r="AD306" s="157" t="s">
        <v>899</v>
      </c>
      <c r="AE306" s="157" t="s">
        <v>899</v>
      </c>
      <c r="AF306" s="157" t="s">
        <v>899</v>
      </c>
      <c r="AG306" s="157" t="s">
        <v>908</v>
      </c>
      <c r="AH306" s="157">
        <v>0</v>
      </c>
      <c r="AI306" s="157" t="s">
        <v>908</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79">
        <v>0.39500000000000002</v>
      </c>
      <c r="O307">
        <v>0.42699999999999999</v>
      </c>
      <c r="P307">
        <v>0.44600000000000001</v>
      </c>
      <c r="Q307" s="199">
        <v>0.41299999999999998</v>
      </c>
      <c r="R307" s="165">
        <v>0.42499999999999999</v>
      </c>
      <c r="S307" s="165">
        <v>0.42599999999999999</v>
      </c>
      <c r="T307" s="165">
        <v>0.41499999999999998</v>
      </c>
      <c r="U307" s="199">
        <v>0.42399999999999999</v>
      </c>
      <c r="V307" s="201">
        <v>0.41199999999999998</v>
      </c>
      <c r="W307" s="201">
        <v>0.40200000000000002</v>
      </c>
      <c r="X307" s="179">
        <v>0.35499999999999998</v>
      </c>
      <c r="Y307" s="179">
        <v>0.59299999999999997</v>
      </c>
      <c r="Z307" s="157">
        <v>0.57899999999999996</v>
      </c>
      <c r="AA307" s="157">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79">
        <v>0.441</v>
      </c>
      <c r="O308">
        <v>0.436</v>
      </c>
      <c r="P308">
        <v>0.43</v>
      </c>
      <c r="Q308" s="199">
        <v>0.442</v>
      </c>
      <c r="R308" s="165">
        <v>0.45</v>
      </c>
      <c r="S308" s="165">
        <v>0.42599999999999999</v>
      </c>
      <c r="T308" s="165">
        <v>0.42199999999999999</v>
      </c>
      <c r="U308" s="198">
        <v>0.41199999999999998</v>
      </c>
      <c r="V308" s="166">
        <v>0.51300000000000001</v>
      </c>
      <c r="W308" s="166">
        <v>0.54100000000000004</v>
      </c>
      <c r="X308" s="179">
        <v>0.55200000000000005</v>
      </c>
      <c r="Y308" s="179" t="s">
        <v>899</v>
      </c>
      <c r="Z308" s="157" t="s">
        <v>899</v>
      </c>
      <c r="AA308" s="157" t="s">
        <v>899</v>
      </c>
      <c r="AB308" s="157" t="s">
        <v>899</v>
      </c>
      <c r="AC308" s="157" t="s">
        <v>899</v>
      </c>
      <c r="AD308" s="157" t="s">
        <v>899</v>
      </c>
      <c r="AE308" s="157" t="s">
        <v>899</v>
      </c>
      <c r="AF308" s="157" t="s">
        <v>899</v>
      </c>
      <c r="AG308" s="157" t="s">
        <v>908</v>
      </c>
      <c r="AH308" s="157">
        <v>0</v>
      </c>
      <c r="AI308" s="157" t="s">
        <v>908</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79">
        <v>0.246</v>
      </c>
      <c r="O309">
        <v>0.27100000000000002</v>
      </c>
      <c r="P309">
        <v>0.27600000000000002</v>
      </c>
      <c r="Q309" s="199">
        <v>0.28000000000000003</v>
      </c>
      <c r="R309" s="165">
        <v>0.28100000000000003</v>
      </c>
      <c r="S309" s="165">
        <v>0.26700000000000002</v>
      </c>
      <c r="T309" s="165">
        <v>0.27600000000000002</v>
      </c>
      <c r="U309" s="198">
        <v>0.26400000000000001</v>
      </c>
      <c r="V309" s="166">
        <v>0.23200000000000001</v>
      </c>
      <c r="W309" s="166">
        <v>0.215</v>
      </c>
      <c r="X309" s="179">
        <v>0.193</v>
      </c>
      <c r="Y309" s="179">
        <v>0.60399999999999998</v>
      </c>
      <c r="Z309" s="157">
        <v>0.52400000000000002</v>
      </c>
      <c r="AA309" s="157">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79">
        <v>0.40799999999999997</v>
      </c>
      <c r="O310">
        <v>0.49199999999999999</v>
      </c>
      <c r="P310">
        <v>0.47899999999999998</v>
      </c>
      <c r="Q310" s="199">
        <v>0.57499999999999996</v>
      </c>
      <c r="R310" s="165">
        <v>0.61899999999999999</v>
      </c>
      <c r="S310" s="165">
        <v>0.60399999999999998</v>
      </c>
      <c r="T310" s="165">
        <v>0.61299999999999999</v>
      </c>
      <c r="U310" s="198">
        <v>0.58499999999999996</v>
      </c>
      <c r="V310" s="166">
        <v>0.57299999999999995</v>
      </c>
      <c r="W310" s="166">
        <v>0.56899999999999995</v>
      </c>
      <c r="X310" s="179">
        <v>0.53300000000000003</v>
      </c>
      <c r="Y310" s="179" t="s">
        <v>899</v>
      </c>
      <c r="Z310" s="157" t="s">
        <v>899</v>
      </c>
      <c r="AA310" s="157" t="s">
        <v>899</v>
      </c>
      <c r="AB310" s="157" t="s">
        <v>899</v>
      </c>
      <c r="AC310" s="157" t="s">
        <v>899</v>
      </c>
      <c r="AD310" s="157" t="s">
        <v>899</v>
      </c>
      <c r="AE310" s="157" t="s">
        <v>899</v>
      </c>
      <c r="AF310" s="157" t="s">
        <v>899</v>
      </c>
      <c r="AG310" s="157" t="s">
        <v>908</v>
      </c>
      <c r="AH310" s="157">
        <v>0</v>
      </c>
      <c r="AI310" s="157" t="s">
        <v>908</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79">
        <v>0.45900000000000002</v>
      </c>
      <c r="O311">
        <v>0.46700000000000003</v>
      </c>
      <c r="P311">
        <v>0.46</v>
      </c>
      <c r="Q311" s="199">
        <v>0.46300000000000002</v>
      </c>
      <c r="R311" s="165">
        <v>0.46700000000000003</v>
      </c>
      <c r="S311" s="165">
        <v>0.45600000000000002</v>
      </c>
      <c r="T311" s="165">
        <v>0.49099999999999999</v>
      </c>
      <c r="U311" s="198">
        <v>0.48399999999999999</v>
      </c>
      <c r="V311" s="166">
        <v>0.47799999999999998</v>
      </c>
      <c r="W311" s="166">
        <v>0.502</v>
      </c>
      <c r="X311" s="179">
        <v>0.47499999999999998</v>
      </c>
      <c r="Y311" s="179" t="s">
        <v>899</v>
      </c>
      <c r="Z311" s="157" t="s">
        <v>899</v>
      </c>
      <c r="AA311" s="157" t="s">
        <v>899</v>
      </c>
      <c r="AB311" s="157" t="s">
        <v>899</v>
      </c>
      <c r="AC311" s="157" t="s">
        <v>899</v>
      </c>
      <c r="AD311" s="157" t="s">
        <v>899</v>
      </c>
      <c r="AE311" s="157" t="s">
        <v>899</v>
      </c>
      <c r="AF311" s="157" t="s">
        <v>899</v>
      </c>
      <c r="AG311" s="157" t="s">
        <v>908</v>
      </c>
      <c r="AH311" s="157">
        <v>0</v>
      </c>
      <c r="AI311" s="157" t="s">
        <v>908</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s="278">
        <v>379.3</v>
      </c>
      <c r="D312" s="278">
        <v>386</v>
      </c>
      <c r="E312" s="278">
        <v>366.6</v>
      </c>
      <c r="F312" s="278">
        <v>379</v>
      </c>
      <c r="G312" s="278">
        <v>426.5</v>
      </c>
      <c r="H312" s="278">
        <v>421.2</v>
      </c>
      <c r="I312" s="278">
        <v>415.8</v>
      </c>
      <c r="J312" s="278">
        <v>456.2</v>
      </c>
      <c r="K312" s="278">
        <v>476.6</v>
      </c>
      <c r="L312" s="278">
        <v>440</v>
      </c>
      <c r="M312" s="278">
        <v>472.7</v>
      </c>
      <c r="N312" s="278">
        <v>0.55200000000000005</v>
      </c>
      <c r="O312" s="278">
        <v>0.54500000000000004</v>
      </c>
      <c r="P312" s="278">
        <v>0.55500000000000005</v>
      </c>
      <c r="Q312" s="278">
        <v>0.53700000000000003</v>
      </c>
      <c r="R312" s="278">
        <v>0.503</v>
      </c>
      <c r="S312" s="278">
        <v>0.502</v>
      </c>
      <c r="T312" s="278">
        <v>0.51500000000000001</v>
      </c>
      <c r="U312" s="278">
        <v>0.48599999999999999</v>
      </c>
      <c r="V312" s="278">
        <v>0.47099999999999997</v>
      </c>
      <c r="W312" s="278">
        <v>0.47899999999999998</v>
      </c>
      <c r="X312" s="278">
        <v>0.49399999999999999</v>
      </c>
      <c r="Y312" s="278" t="s">
        <v>899</v>
      </c>
      <c r="Z312" s="278" t="s">
        <v>899</v>
      </c>
      <c r="AA312" s="278" t="s">
        <v>899</v>
      </c>
      <c r="AB312" s="278" t="s">
        <v>899</v>
      </c>
      <c r="AC312" s="278" t="s">
        <v>899</v>
      </c>
      <c r="AD312" s="278" t="s">
        <v>899</v>
      </c>
      <c r="AE312" s="278" t="s">
        <v>899</v>
      </c>
      <c r="AF312" s="278" t="s">
        <v>899</v>
      </c>
      <c r="AG312" s="278" t="s">
        <v>908</v>
      </c>
      <c r="AH312" s="278">
        <v>0</v>
      </c>
      <c r="AI312" s="278" t="s">
        <v>908</v>
      </c>
      <c r="AJ312" s="278">
        <v>377.1</v>
      </c>
      <c r="AK312" s="278">
        <v>362.3</v>
      </c>
      <c r="AL312" s="278">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79">
        <v>0.51800000000000002</v>
      </c>
      <c r="O313">
        <v>0.68700000000000006</v>
      </c>
      <c r="P313">
        <v>0.65100000000000002</v>
      </c>
      <c r="Q313" s="199">
        <v>0.65300000000000002</v>
      </c>
      <c r="R313" s="165">
        <v>0.65600000000000003</v>
      </c>
      <c r="S313" s="165">
        <v>0.64800000000000002</v>
      </c>
      <c r="T313" s="165">
        <v>0.625</v>
      </c>
      <c r="U313" s="198">
        <v>0.625</v>
      </c>
      <c r="V313" s="166">
        <v>0.625</v>
      </c>
      <c r="W313" s="166">
        <v>0.63300000000000001</v>
      </c>
      <c r="X313" s="179">
        <v>0.626</v>
      </c>
      <c r="Y313" s="179" t="s">
        <v>899</v>
      </c>
      <c r="Z313" s="157" t="s">
        <v>899</v>
      </c>
      <c r="AA313" s="157" t="s">
        <v>899</v>
      </c>
      <c r="AB313" s="157" t="s">
        <v>899</v>
      </c>
      <c r="AC313" s="157" t="s">
        <v>899</v>
      </c>
      <c r="AD313" s="157" t="s">
        <v>899</v>
      </c>
      <c r="AE313" s="157" t="s">
        <v>899</v>
      </c>
      <c r="AF313" s="157" t="s">
        <v>899</v>
      </c>
      <c r="AG313" s="157" t="s">
        <v>908</v>
      </c>
      <c r="AH313" s="157">
        <v>0</v>
      </c>
      <c r="AI313" s="157" t="s">
        <v>908</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79">
        <v>0.39900000000000002</v>
      </c>
      <c r="O314">
        <v>0.39300000000000002</v>
      </c>
      <c r="P314">
        <v>0.39500000000000002</v>
      </c>
      <c r="Q314" s="199">
        <v>0.39</v>
      </c>
      <c r="R314" s="165">
        <v>0.38800000000000001</v>
      </c>
      <c r="S314" s="165">
        <v>0.38900000000000001</v>
      </c>
      <c r="T314" s="165">
        <v>0.47499999999999998</v>
      </c>
      <c r="U314" s="198">
        <v>0.47799999999999998</v>
      </c>
      <c r="V314" s="166">
        <v>0.45400000000000001</v>
      </c>
      <c r="W314" s="166">
        <v>0.49299999999999999</v>
      </c>
      <c r="X314" s="179">
        <v>0.49199999999999999</v>
      </c>
      <c r="Y314" s="179">
        <v>0.64200000000000002</v>
      </c>
      <c r="Z314" s="157">
        <v>0.64900000000000002</v>
      </c>
      <c r="AA314" s="157">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79">
        <v>0.48699999999999999</v>
      </c>
      <c r="O315">
        <v>0.46</v>
      </c>
      <c r="P315">
        <v>0.40400000000000003</v>
      </c>
      <c r="Q315" s="199">
        <v>0.41099999999999998</v>
      </c>
      <c r="R315" s="165">
        <v>0.42</v>
      </c>
      <c r="S315" s="165">
        <v>0.41699999999999998</v>
      </c>
      <c r="T315" s="165">
        <v>0.41299999999999998</v>
      </c>
      <c r="U315" s="198">
        <v>0.41299999999999998</v>
      </c>
      <c r="V315" s="166">
        <v>0.39800000000000002</v>
      </c>
      <c r="W315" s="166">
        <v>0.40100000000000002</v>
      </c>
      <c r="X315" s="179">
        <v>0.32200000000000001</v>
      </c>
      <c r="Y315" s="179">
        <v>0.38</v>
      </c>
      <c r="Z315" s="157">
        <v>0.48399999999999999</v>
      </c>
      <c r="AA315" s="157">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s="278">
        <v>647.4</v>
      </c>
      <c r="K316" s="278">
        <v>637.4</v>
      </c>
      <c r="L316" s="165">
        <v>618.70000000000005</v>
      </c>
      <c r="M316" s="165">
        <v>643.4</v>
      </c>
      <c r="N316" s="179">
        <v>0.27300000000000002</v>
      </c>
      <c r="O316">
        <v>0.27100000000000002</v>
      </c>
      <c r="P316">
        <v>0.308</v>
      </c>
      <c r="Q316" s="199">
        <v>0.32600000000000001</v>
      </c>
      <c r="R316" s="165">
        <v>0.35499999999999998</v>
      </c>
      <c r="S316" s="278">
        <v>0.34599999999999997</v>
      </c>
      <c r="T316" s="278">
        <v>0.34399999999999997</v>
      </c>
      <c r="U316" s="198">
        <v>0.32500000000000001</v>
      </c>
      <c r="V316" s="166">
        <v>0.316</v>
      </c>
      <c r="W316" s="166">
        <v>0.32300000000000001</v>
      </c>
      <c r="X316" s="179">
        <v>0.31900000000000001</v>
      </c>
      <c r="Y316" s="179" t="s">
        <v>899</v>
      </c>
      <c r="Z316" s="164" t="s">
        <v>899</v>
      </c>
      <c r="AA316" s="157" t="s">
        <v>899</v>
      </c>
      <c r="AB316" s="157" t="s">
        <v>899</v>
      </c>
      <c r="AC316" s="157" t="s">
        <v>899</v>
      </c>
      <c r="AD316" s="157" t="s">
        <v>899</v>
      </c>
      <c r="AE316" s="157" t="s">
        <v>899</v>
      </c>
      <c r="AF316" s="157" t="s">
        <v>899</v>
      </c>
      <c r="AG316" s="157" t="s">
        <v>908</v>
      </c>
      <c r="AH316" s="157">
        <v>0</v>
      </c>
      <c r="AI316" s="157" t="s">
        <v>908</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79">
        <v>0.26700000000000002</v>
      </c>
      <c r="O317">
        <v>0.28399999999999997</v>
      </c>
      <c r="P317">
        <v>0.23499999999999999</v>
      </c>
      <c r="Q317" s="199">
        <v>0.20399999999999999</v>
      </c>
      <c r="R317" s="165">
        <v>0.20699999999999999</v>
      </c>
      <c r="S317" s="165">
        <v>0.21099999999999999</v>
      </c>
      <c r="T317" s="165">
        <v>0.219</v>
      </c>
      <c r="U317" s="198">
        <v>0.221</v>
      </c>
      <c r="V317" s="166">
        <v>0.23200000000000001</v>
      </c>
      <c r="W317" s="166">
        <v>0.23699999999999999</v>
      </c>
      <c r="X317" s="179">
        <v>0.24199999999999999</v>
      </c>
      <c r="Y317" s="179" t="s">
        <v>899</v>
      </c>
      <c r="Z317" s="157" t="s">
        <v>899</v>
      </c>
      <c r="AA317" s="157" t="s">
        <v>899</v>
      </c>
      <c r="AB317" s="157" t="s">
        <v>899</v>
      </c>
      <c r="AC317" s="157" t="s">
        <v>899</v>
      </c>
      <c r="AD317" s="157" t="s">
        <v>899</v>
      </c>
      <c r="AE317" s="157" t="s">
        <v>899</v>
      </c>
      <c r="AF317" s="157" t="s">
        <v>899</v>
      </c>
      <c r="AG317" s="157" t="s">
        <v>908</v>
      </c>
      <c r="AH317" s="157">
        <v>0</v>
      </c>
      <c r="AI317" s="157" t="s">
        <v>908</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s="278">
        <v>605.5</v>
      </c>
      <c r="D318" s="278">
        <v>589.20000000000005</v>
      </c>
      <c r="E318" s="278">
        <v>580.4</v>
      </c>
      <c r="F318" s="278">
        <v>496.9</v>
      </c>
      <c r="G318" s="278">
        <v>491.3</v>
      </c>
      <c r="H318" s="278">
        <v>482.3</v>
      </c>
      <c r="I318" s="278">
        <v>454.8</v>
      </c>
      <c r="J318" s="278">
        <v>544.29999999999995</v>
      </c>
      <c r="K318" s="278">
        <v>522.79999999999995</v>
      </c>
      <c r="L318" s="278">
        <v>499.9</v>
      </c>
      <c r="M318" s="278">
        <v>575.1</v>
      </c>
      <c r="N318" s="278">
        <v>0.433</v>
      </c>
      <c r="O318" s="278">
        <v>0.433</v>
      </c>
      <c r="P318" s="278">
        <v>0.42899999999999999</v>
      </c>
      <c r="Q318" s="278">
        <v>0.495</v>
      </c>
      <c r="R318" s="278">
        <v>0.505</v>
      </c>
      <c r="S318" s="278">
        <v>0.52700000000000002</v>
      </c>
      <c r="T318" s="278">
        <v>0.54300000000000004</v>
      </c>
      <c r="U318" s="278">
        <v>0.42799999999999999</v>
      </c>
      <c r="V318" s="278">
        <v>0.442</v>
      </c>
      <c r="W318" s="278">
        <v>0.47499999999999998</v>
      </c>
      <c r="X318" s="278">
        <v>0.44400000000000001</v>
      </c>
      <c r="Y318" s="278">
        <v>0.53400000000000003</v>
      </c>
      <c r="Z318" s="278">
        <v>0.53500000000000003</v>
      </c>
      <c r="AA318" s="278">
        <v>0.50900000000000001</v>
      </c>
      <c r="AB318" s="278">
        <v>0.02</v>
      </c>
      <c r="AC318" s="278">
        <v>1.7999999999999999E-2</v>
      </c>
      <c r="AD318" s="278">
        <v>1.9E-2</v>
      </c>
      <c r="AE318" s="278">
        <v>2.8000000000000001E-2</v>
      </c>
      <c r="AF318" s="278">
        <v>0.435</v>
      </c>
      <c r="AG318" s="278">
        <v>0.16700000000000001</v>
      </c>
      <c r="AH318" s="278">
        <v>5.0000000000000001E-3</v>
      </c>
      <c r="AI318" s="278">
        <v>3.5000000000000003E-2</v>
      </c>
      <c r="AJ318" s="278">
        <v>477</v>
      </c>
      <c r="AK318" s="278">
        <v>463.9</v>
      </c>
      <c r="AL318" s="278">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79">
        <v>0.49099999999999999</v>
      </c>
      <c r="O319">
        <v>0.503</v>
      </c>
      <c r="P319">
        <v>0.56499999999999995</v>
      </c>
      <c r="Q319" s="199">
        <v>0.54700000000000004</v>
      </c>
      <c r="R319" s="165">
        <v>0.54800000000000004</v>
      </c>
      <c r="S319" s="165">
        <v>0.56399999999999995</v>
      </c>
      <c r="T319" s="165">
        <v>0.54700000000000004</v>
      </c>
      <c r="U319" s="198">
        <v>0.52300000000000002</v>
      </c>
      <c r="V319" s="166">
        <v>0.53700000000000003</v>
      </c>
      <c r="W319" s="166">
        <v>0.53800000000000003</v>
      </c>
      <c r="X319" s="179">
        <v>0.54600000000000004</v>
      </c>
      <c r="Y319" s="179" t="s">
        <v>899</v>
      </c>
      <c r="Z319" s="157" t="s">
        <v>899</v>
      </c>
      <c r="AA319" s="157" t="s">
        <v>899</v>
      </c>
      <c r="AB319" s="157" t="s">
        <v>899</v>
      </c>
      <c r="AC319" s="157" t="s">
        <v>899</v>
      </c>
      <c r="AD319" s="157" t="s">
        <v>899</v>
      </c>
      <c r="AE319" s="157" t="s">
        <v>899</v>
      </c>
      <c r="AF319" s="157" t="s">
        <v>899</v>
      </c>
      <c r="AG319" s="157" t="s">
        <v>908</v>
      </c>
      <c r="AH319" s="157">
        <v>0</v>
      </c>
      <c r="AI319" s="157" t="s">
        <v>908</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79">
        <v>0.49099999999999999</v>
      </c>
      <c r="O320">
        <v>0.48599999999999999</v>
      </c>
      <c r="P320">
        <v>0.52300000000000002</v>
      </c>
      <c r="Q320" s="199">
        <v>0.53300000000000003</v>
      </c>
      <c r="R320" s="165">
        <v>0.54200000000000004</v>
      </c>
      <c r="S320" s="165">
        <v>0.54100000000000004</v>
      </c>
      <c r="T320" s="165">
        <v>0.54400000000000004</v>
      </c>
      <c r="U320" s="198">
        <v>0.51400000000000001</v>
      </c>
      <c r="V320" s="166">
        <v>0.51400000000000001</v>
      </c>
      <c r="W320" s="166">
        <v>0.51100000000000001</v>
      </c>
      <c r="X320" s="179">
        <v>0.495</v>
      </c>
      <c r="Y320" s="179">
        <v>0.33800000000000002</v>
      </c>
      <c r="Z320" s="157">
        <v>0.374</v>
      </c>
      <c r="AA320" s="157">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79">
        <v>0.40200000000000002</v>
      </c>
      <c r="O321">
        <v>0.41199999999999998</v>
      </c>
      <c r="P321">
        <v>0.39700000000000002</v>
      </c>
      <c r="Q321" s="199">
        <v>0.40600000000000003</v>
      </c>
      <c r="R321" s="165">
        <v>0.41699999999999998</v>
      </c>
      <c r="S321" s="165">
        <v>0.40100000000000002</v>
      </c>
      <c r="T321" s="165">
        <v>0.42899999999999999</v>
      </c>
      <c r="U321" s="198">
        <v>0.443</v>
      </c>
      <c r="V321" s="166">
        <v>0.45100000000000001</v>
      </c>
      <c r="W321" s="166">
        <v>0.45300000000000001</v>
      </c>
      <c r="X321" s="179">
        <v>0.5</v>
      </c>
      <c r="Y321" s="179" t="s">
        <v>899</v>
      </c>
      <c r="Z321" s="157" t="s">
        <v>899</v>
      </c>
      <c r="AA321" s="157" t="s">
        <v>899</v>
      </c>
      <c r="AB321" s="157" t="s">
        <v>899</v>
      </c>
      <c r="AC321" s="157" t="s">
        <v>899</v>
      </c>
      <c r="AD321" s="157" t="s">
        <v>899</v>
      </c>
      <c r="AE321" s="157" t="s">
        <v>899</v>
      </c>
      <c r="AF321" s="157" t="s">
        <v>899</v>
      </c>
      <c r="AG321" s="157" t="s">
        <v>908</v>
      </c>
      <c r="AH321" s="157">
        <v>0</v>
      </c>
      <c r="AI321" s="157" t="s">
        <v>908</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79">
        <v>0.379</v>
      </c>
      <c r="O322">
        <v>0.41199999999999998</v>
      </c>
      <c r="P322">
        <v>0.50600000000000001</v>
      </c>
      <c r="Q322" s="199">
        <v>0.45200000000000001</v>
      </c>
      <c r="R322" s="165">
        <v>0.51700000000000002</v>
      </c>
      <c r="S322" s="165">
        <v>0.54800000000000004</v>
      </c>
      <c r="T322" s="165">
        <v>0.51300000000000001</v>
      </c>
      <c r="U322" s="199">
        <v>0.54900000000000004</v>
      </c>
      <c r="V322" s="201">
        <v>0.54600000000000004</v>
      </c>
      <c r="W322" s="201">
        <v>0.54400000000000004</v>
      </c>
      <c r="X322" s="179">
        <v>0.56999999999999995</v>
      </c>
      <c r="Y322" s="179" t="s">
        <v>899</v>
      </c>
      <c r="Z322" s="157" t="s">
        <v>899</v>
      </c>
      <c r="AA322" s="157" t="s">
        <v>899</v>
      </c>
      <c r="AB322" s="157" t="s">
        <v>899</v>
      </c>
      <c r="AC322" s="157" t="s">
        <v>899</v>
      </c>
      <c r="AD322" s="157" t="s">
        <v>899</v>
      </c>
      <c r="AE322" s="157" t="s">
        <v>899</v>
      </c>
      <c r="AF322" s="157" t="s">
        <v>899</v>
      </c>
      <c r="AG322" s="157" t="s">
        <v>908</v>
      </c>
      <c r="AH322" s="157">
        <v>0</v>
      </c>
      <c r="AI322" s="157" t="s">
        <v>908</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79">
        <v>0.41699999999999998</v>
      </c>
      <c r="O323">
        <v>0.443</v>
      </c>
      <c r="P323">
        <v>0.439</v>
      </c>
      <c r="Q323" s="199">
        <v>0.46899999999999997</v>
      </c>
      <c r="R323" s="165">
        <v>0.48899999999999999</v>
      </c>
      <c r="S323" s="165">
        <v>0.49099999999999999</v>
      </c>
      <c r="T323" s="165">
        <v>0.51900000000000002</v>
      </c>
      <c r="U323" s="199">
        <v>0.51300000000000001</v>
      </c>
      <c r="V323" s="201">
        <v>0.50800000000000001</v>
      </c>
      <c r="W323" s="201">
        <v>0.495</v>
      </c>
      <c r="X323" s="179">
        <v>0.48399999999999999</v>
      </c>
      <c r="Y323" s="179" t="s">
        <v>899</v>
      </c>
      <c r="Z323" s="157" t="s">
        <v>899</v>
      </c>
      <c r="AA323" s="157" t="s">
        <v>899</v>
      </c>
      <c r="AB323" s="157" t="s">
        <v>899</v>
      </c>
      <c r="AC323" s="157" t="s">
        <v>899</v>
      </c>
      <c r="AD323" s="157" t="s">
        <v>899</v>
      </c>
      <c r="AE323" s="157" t="s">
        <v>899</v>
      </c>
      <c r="AF323" s="157" t="s">
        <v>899</v>
      </c>
      <c r="AG323" s="157" t="s">
        <v>908</v>
      </c>
      <c r="AH323" s="157">
        <v>0</v>
      </c>
      <c r="AI323" s="157" t="s">
        <v>908</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79">
        <v>0.34499999999999997</v>
      </c>
      <c r="O324">
        <v>0.4</v>
      </c>
      <c r="P324">
        <v>0.41599999999999998</v>
      </c>
      <c r="Q324" s="199">
        <v>0.35899999999999999</v>
      </c>
      <c r="R324" s="165">
        <v>0.40200000000000002</v>
      </c>
      <c r="S324" s="165">
        <v>0.40799999999999997</v>
      </c>
      <c r="T324" s="165">
        <v>0.42699999999999999</v>
      </c>
      <c r="U324" s="198">
        <v>0.41399999999999998</v>
      </c>
      <c r="V324" s="166">
        <v>0.40200000000000002</v>
      </c>
      <c r="W324" s="166">
        <v>0.41799999999999998</v>
      </c>
      <c r="X324" s="179">
        <v>0.39200000000000002</v>
      </c>
      <c r="Y324" s="179" t="s">
        <v>899</v>
      </c>
      <c r="Z324" s="157" t="s">
        <v>899</v>
      </c>
      <c r="AA324" s="157" t="s">
        <v>899</v>
      </c>
      <c r="AB324" s="157" t="s">
        <v>899</v>
      </c>
      <c r="AC324" s="157" t="s">
        <v>899</v>
      </c>
      <c r="AD324" s="157" t="s">
        <v>899</v>
      </c>
      <c r="AE324" s="157" t="s">
        <v>899</v>
      </c>
      <c r="AF324" s="157" t="s">
        <v>899</v>
      </c>
      <c r="AG324" s="157" t="s">
        <v>908</v>
      </c>
      <c r="AH324" s="157">
        <v>0</v>
      </c>
      <c r="AI324" s="157" t="s">
        <v>908</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79">
        <v>0.36499999999999999</v>
      </c>
      <c r="O325">
        <v>0.499</v>
      </c>
      <c r="P325">
        <v>0.438</v>
      </c>
      <c r="Q325" s="199">
        <v>0.46600000000000003</v>
      </c>
      <c r="R325" s="165">
        <v>0.48</v>
      </c>
      <c r="S325" s="165">
        <v>0.48499999999999999</v>
      </c>
      <c r="T325" s="165">
        <v>0.53</v>
      </c>
      <c r="U325" s="198">
        <v>0.434</v>
      </c>
      <c r="V325" s="166">
        <v>0.45400000000000001</v>
      </c>
      <c r="W325" s="166">
        <v>0.46600000000000003</v>
      </c>
      <c r="X325" s="179">
        <v>0.47599999999999998</v>
      </c>
      <c r="Y325" s="179" t="s">
        <v>899</v>
      </c>
      <c r="Z325" s="157" t="s">
        <v>899</v>
      </c>
      <c r="AA325" s="157" t="s">
        <v>899</v>
      </c>
      <c r="AB325" s="157" t="s">
        <v>899</v>
      </c>
      <c r="AC325" s="157" t="s">
        <v>899</v>
      </c>
      <c r="AD325" s="157" t="s">
        <v>899</v>
      </c>
      <c r="AE325" s="157" t="s">
        <v>899</v>
      </c>
      <c r="AF325" s="157" t="s">
        <v>899</v>
      </c>
      <c r="AG325" s="157" t="s">
        <v>908</v>
      </c>
      <c r="AH325" s="157">
        <v>0</v>
      </c>
      <c r="AI325" s="157" t="s">
        <v>908</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79">
        <v>0.42</v>
      </c>
      <c r="O326">
        <v>0.46200000000000002</v>
      </c>
      <c r="P326">
        <v>0.501</v>
      </c>
      <c r="Q326" s="199">
        <v>0.49299999999999999</v>
      </c>
      <c r="R326" s="165">
        <v>0.51900000000000002</v>
      </c>
      <c r="S326" s="165">
        <v>0.51800000000000002</v>
      </c>
      <c r="T326" s="165">
        <v>0.51800000000000002</v>
      </c>
      <c r="U326" s="198">
        <v>0.51500000000000001</v>
      </c>
      <c r="V326" s="166">
        <v>0.495</v>
      </c>
      <c r="W326" s="166">
        <v>0.49399999999999999</v>
      </c>
      <c r="X326" s="179">
        <v>0.49</v>
      </c>
      <c r="Y326" s="179">
        <v>0.438</v>
      </c>
      <c r="Z326" s="157">
        <v>0.20899999999999999</v>
      </c>
      <c r="AA326" s="157">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79">
        <v>0.51600000000000001</v>
      </c>
      <c r="O327">
        <v>0.59899999999999998</v>
      </c>
      <c r="P327">
        <v>0.56999999999999995</v>
      </c>
      <c r="Q327" s="199">
        <v>0.57899999999999996</v>
      </c>
      <c r="R327" s="165">
        <v>0.56499999999999995</v>
      </c>
      <c r="S327" s="165">
        <v>0.54500000000000004</v>
      </c>
      <c r="T327" s="165">
        <v>0.53800000000000003</v>
      </c>
      <c r="U327" s="199">
        <v>0.51200000000000001</v>
      </c>
      <c r="V327" s="166">
        <v>0.51300000000000001</v>
      </c>
      <c r="W327" s="166">
        <v>0.53700000000000003</v>
      </c>
      <c r="X327" s="179">
        <v>0.55200000000000005</v>
      </c>
      <c r="Y327" s="179" t="s">
        <v>899</v>
      </c>
      <c r="Z327" s="157" t="s">
        <v>899</v>
      </c>
      <c r="AA327" s="157" t="s">
        <v>899</v>
      </c>
      <c r="AB327" s="157" t="s">
        <v>899</v>
      </c>
      <c r="AC327" s="157" t="s">
        <v>899</v>
      </c>
      <c r="AD327" s="157" t="s">
        <v>899</v>
      </c>
      <c r="AE327" s="157" t="s">
        <v>899</v>
      </c>
      <c r="AF327" s="157" t="s">
        <v>899</v>
      </c>
      <c r="AG327" s="157" t="s">
        <v>908</v>
      </c>
      <c r="AH327" s="157">
        <v>0</v>
      </c>
      <c r="AI327" s="157" t="s">
        <v>908</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79">
        <v>0.45900000000000002</v>
      </c>
      <c r="O328">
        <v>0.47699999999999998</v>
      </c>
      <c r="P328">
        <v>0.47499999999999998</v>
      </c>
      <c r="Q328" s="199">
        <v>0.433</v>
      </c>
      <c r="R328" s="165">
        <v>0.45300000000000001</v>
      </c>
      <c r="S328" s="165">
        <v>0.47399999999999998</v>
      </c>
      <c r="T328" s="165">
        <v>0.47099999999999997</v>
      </c>
      <c r="U328" s="198">
        <v>0.42899999999999999</v>
      </c>
      <c r="V328" s="166">
        <v>0.438</v>
      </c>
      <c r="W328" s="166">
        <v>0.46700000000000003</v>
      </c>
      <c r="X328" s="179">
        <v>0.48099999999999998</v>
      </c>
      <c r="Y328" s="179" t="s">
        <v>899</v>
      </c>
      <c r="Z328" s="157" t="s">
        <v>899</v>
      </c>
      <c r="AA328" s="157" t="s">
        <v>899</v>
      </c>
      <c r="AB328" s="157" t="s">
        <v>899</v>
      </c>
      <c r="AC328" s="157" t="s">
        <v>899</v>
      </c>
      <c r="AD328" s="157" t="s">
        <v>899</v>
      </c>
      <c r="AE328" s="157" t="s">
        <v>899</v>
      </c>
      <c r="AF328" s="157" t="s">
        <v>899</v>
      </c>
      <c r="AG328" s="157" t="s">
        <v>908</v>
      </c>
      <c r="AH328" s="157">
        <v>0</v>
      </c>
      <c r="AI328" s="157" t="s">
        <v>908</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79">
        <v>0.56299999999999994</v>
      </c>
      <c r="O329">
        <v>0.55200000000000005</v>
      </c>
      <c r="P329">
        <v>0.54</v>
      </c>
      <c r="Q329" s="199">
        <v>0.53200000000000003</v>
      </c>
      <c r="R329" s="165">
        <v>0.54200000000000004</v>
      </c>
      <c r="S329" s="165">
        <v>0.5</v>
      </c>
      <c r="T329" s="165">
        <v>0.48899999999999999</v>
      </c>
      <c r="U329" s="199">
        <v>0.46</v>
      </c>
      <c r="V329" s="201">
        <v>0.41</v>
      </c>
      <c r="W329" s="201">
        <v>0.42899999999999999</v>
      </c>
      <c r="X329" s="179">
        <v>0.42</v>
      </c>
      <c r="Y329" s="179" t="s">
        <v>899</v>
      </c>
      <c r="Z329" s="157" t="s">
        <v>899</v>
      </c>
      <c r="AA329" s="157" t="s">
        <v>899</v>
      </c>
      <c r="AB329" s="157" t="s">
        <v>899</v>
      </c>
      <c r="AC329" s="157" t="s">
        <v>899</v>
      </c>
      <c r="AD329" s="157" t="s">
        <v>899</v>
      </c>
      <c r="AE329" s="157" t="s">
        <v>899</v>
      </c>
      <c r="AF329" s="157" t="s">
        <v>899</v>
      </c>
      <c r="AG329" s="157" t="s">
        <v>908</v>
      </c>
      <c r="AH329" s="157">
        <v>0</v>
      </c>
      <c r="AI329" s="157" t="s">
        <v>908</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s="157">
        <v>363.7</v>
      </c>
      <c r="J330">
        <v>358.1</v>
      </c>
      <c r="K330" s="279">
        <v>365.1</v>
      </c>
      <c r="L330" s="165">
        <v>375.6</v>
      </c>
      <c r="M330" s="165">
        <v>403.1</v>
      </c>
      <c r="N330" s="179">
        <v>0.42399999999999999</v>
      </c>
      <c r="O330">
        <v>0.61199999999999999</v>
      </c>
      <c r="P330">
        <v>0.60099999999999998</v>
      </c>
      <c r="Q330" s="199">
        <v>0.57399999999999995</v>
      </c>
      <c r="R330" s="157">
        <v>0.59499999999999997</v>
      </c>
      <c r="S330" s="165">
        <v>0.60799999999999998</v>
      </c>
      <c r="T330" s="165">
        <v>0.63400000000000001</v>
      </c>
      <c r="U330" s="199">
        <v>0.59599999999999997</v>
      </c>
      <c r="V330" s="201">
        <v>0.57799999999999996</v>
      </c>
      <c r="W330" s="201">
        <v>0.57899999999999996</v>
      </c>
      <c r="X330" s="179">
        <v>0.56999999999999995</v>
      </c>
      <c r="Y330" s="179" t="s">
        <v>899</v>
      </c>
      <c r="Z330" s="157" t="s">
        <v>899</v>
      </c>
      <c r="AA330" s="157" t="s">
        <v>899</v>
      </c>
      <c r="AB330" s="157" t="s">
        <v>899</v>
      </c>
      <c r="AC330" s="157" t="s">
        <v>899</v>
      </c>
      <c r="AD330" s="157" t="s">
        <v>899</v>
      </c>
      <c r="AE330" s="157" t="s">
        <v>899</v>
      </c>
      <c r="AF330" s="157" t="s">
        <v>899</v>
      </c>
      <c r="AG330" s="157" t="s">
        <v>908</v>
      </c>
      <c r="AH330" s="157">
        <v>0</v>
      </c>
      <c r="AI330" s="157" t="s">
        <v>908</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t="s">
        <v>899</v>
      </c>
      <c r="D331" t="s">
        <v>899</v>
      </c>
      <c r="E331" t="s">
        <v>899</v>
      </c>
      <c r="F331" t="s">
        <v>899</v>
      </c>
      <c r="G331" t="s">
        <v>899</v>
      </c>
      <c r="H331" t="s">
        <v>899</v>
      </c>
      <c r="I331" t="s">
        <v>899</v>
      </c>
      <c r="J331" t="s">
        <v>899</v>
      </c>
      <c r="K331" t="s">
        <v>899</v>
      </c>
      <c r="L331" t="s">
        <v>899</v>
      </c>
      <c r="M331" t="s">
        <v>899</v>
      </c>
      <c r="N331" t="s">
        <v>899</v>
      </c>
      <c r="O331" t="s">
        <v>899</v>
      </c>
      <c r="P331" t="s">
        <v>899</v>
      </c>
      <c r="Q331" t="s">
        <v>899</v>
      </c>
      <c r="R331" t="s">
        <v>899</v>
      </c>
      <c r="S331" t="s">
        <v>899</v>
      </c>
      <c r="T331" t="s">
        <v>899</v>
      </c>
      <c r="U331" t="s">
        <v>899</v>
      </c>
      <c r="V331" t="s">
        <v>899</v>
      </c>
      <c r="W331" t="s">
        <v>899</v>
      </c>
      <c r="X331" t="s">
        <v>899</v>
      </c>
      <c r="Y331" t="s">
        <v>899</v>
      </c>
      <c r="Z331" t="s">
        <v>899</v>
      </c>
      <c r="AA331" t="s">
        <v>899</v>
      </c>
      <c r="AB331" t="s">
        <v>899</v>
      </c>
      <c r="AC331" t="s">
        <v>899</v>
      </c>
      <c r="AD331" t="s">
        <v>899</v>
      </c>
      <c r="AE331" t="s">
        <v>899</v>
      </c>
      <c r="AF331" t="s">
        <v>899</v>
      </c>
      <c r="AG331" t="s">
        <v>899</v>
      </c>
      <c r="AH331" t="s">
        <v>899</v>
      </c>
      <c r="AI331" t="s">
        <v>899</v>
      </c>
      <c r="AJ331" t="s">
        <v>899</v>
      </c>
      <c r="AK331" t="s">
        <v>899</v>
      </c>
      <c r="AL331" t="s">
        <v>899</v>
      </c>
      <c r="AM331" t="s">
        <v>899</v>
      </c>
      <c r="AN331" t="s">
        <v>899</v>
      </c>
      <c r="AO331" t="s">
        <v>899</v>
      </c>
      <c r="AP331" t="s">
        <v>899</v>
      </c>
      <c r="AQ331" t="s">
        <v>899</v>
      </c>
      <c r="AR331" t="s">
        <v>899</v>
      </c>
      <c r="AS331" t="s">
        <v>899</v>
      </c>
      <c r="AT331" t="s">
        <v>899</v>
      </c>
    </row>
    <row r="332" spans="1:46" ht="14.7" customHeight="1">
      <c r="A332" s="49" t="s">
        <v>912</v>
      </c>
      <c r="B332" s="244"/>
      <c r="C332" t="s">
        <v>899</v>
      </c>
      <c r="D332" t="s">
        <v>899</v>
      </c>
      <c r="E332" t="s">
        <v>899</v>
      </c>
      <c r="F332" t="s">
        <v>899</v>
      </c>
      <c r="G332" t="s">
        <v>899</v>
      </c>
      <c r="H332" t="s">
        <v>899</v>
      </c>
      <c r="I332" t="s">
        <v>899</v>
      </c>
      <c r="J332" t="s">
        <v>899</v>
      </c>
      <c r="K332" t="s">
        <v>899</v>
      </c>
      <c r="L332" s="165">
        <v>506.4</v>
      </c>
      <c r="M332" s="165">
        <v>558.79999999999995</v>
      </c>
      <c r="N332" t="s">
        <v>899</v>
      </c>
      <c r="O332" t="s">
        <v>899</v>
      </c>
      <c r="P332" t="s">
        <v>899</v>
      </c>
      <c r="Q332" t="s">
        <v>899</v>
      </c>
      <c r="R332" t="s">
        <v>899</v>
      </c>
      <c r="S332" t="s">
        <v>899</v>
      </c>
      <c r="T332" t="s">
        <v>899</v>
      </c>
      <c r="U332" t="s">
        <v>899</v>
      </c>
      <c r="V332" t="s">
        <v>899</v>
      </c>
      <c r="W332" s="166">
        <v>0.40100000000000002</v>
      </c>
      <c r="X332" s="179">
        <v>0.38200000000000001</v>
      </c>
      <c r="Y332" t="s">
        <v>899</v>
      </c>
      <c r="Z332" t="s">
        <v>899</v>
      </c>
      <c r="AA332" t="s">
        <v>899</v>
      </c>
      <c r="AB332" t="s">
        <v>899</v>
      </c>
      <c r="AC332" t="s">
        <v>899</v>
      </c>
      <c r="AD332" t="s">
        <v>899</v>
      </c>
      <c r="AE332" t="s">
        <v>899</v>
      </c>
      <c r="AF332" t="s">
        <v>899</v>
      </c>
      <c r="AG332" t="s">
        <v>899</v>
      </c>
      <c r="AH332" s="157">
        <v>0</v>
      </c>
      <c r="AI332" s="157" t="s">
        <v>908</v>
      </c>
      <c r="AJ332" t="s">
        <v>899</v>
      </c>
      <c r="AK332" t="s">
        <v>899</v>
      </c>
      <c r="AL332" t="s">
        <v>899</v>
      </c>
      <c r="AM332" t="s">
        <v>899</v>
      </c>
      <c r="AN332" t="s">
        <v>899</v>
      </c>
      <c r="AO332" t="s">
        <v>899</v>
      </c>
      <c r="AP332" t="s">
        <v>899</v>
      </c>
      <c r="AQ332" t="s">
        <v>899</v>
      </c>
      <c r="AR332"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79">
        <v>0.44</v>
      </c>
      <c r="O333">
        <v>0.44</v>
      </c>
      <c r="P333">
        <v>0.42599999999999999</v>
      </c>
      <c r="Q333" s="199">
        <v>0.41099999999999998</v>
      </c>
      <c r="R333" s="165">
        <v>0.41599999999999998</v>
      </c>
      <c r="S333" s="165">
        <v>0.42099999999999999</v>
      </c>
      <c r="T333" s="165">
        <v>0.443</v>
      </c>
      <c r="U333" s="198">
        <v>0.51300000000000001</v>
      </c>
      <c r="V333" s="166">
        <v>0.51900000000000002</v>
      </c>
      <c r="W333" s="166">
        <v>0.53100000000000003</v>
      </c>
      <c r="X333" s="179">
        <v>0.53100000000000003</v>
      </c>
      <c r="Y333" s="179">
        <v>0.40500000000000003</v>
      </c>
      <c r="Z333" s="157">
        <v>0.40200000000000002</v>
      </c>
      <c r="AA333" s="157">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65">
        <v>314.7</v>
      </c>
      <c r="N334" s="179">
        <v>0.253</v>
      </c>
      <c r="O334" s="199">
        <v>0.251</v>
      </c>
      <c r="P334" s="199">
        <v>0.217</v>
      </c>
      <c r="Q334" s="199">
        <v>0.21099999999999999</v>
      </c>
      <c r="R334" s="165">
        <v>0.191</v>
      </c>
      <c r="S334" s="165">
        <v>0.17299999999999999</v>
      </c>
      <c r="T334" s="165">
        <v>0.17399999999999999</v>
      </c>
      <c r="U334" s="199">
        <v>0.188</v>
      </c>
      <c r="V334" s="201">
        <v>0.217</v>
      </c>
      <c r="W334" s="201">
        <v>0.20399999999999999</v>
      </c>
      <c r="X334" s="179">
        <v>0.23899999999999999</v>
      </c>
      <c r="Y334" s="179">
        <v>0.13500000000000001</v>
      </c>
      <c r="Z334" s="157">
        <v>8.5000000000000006E-2</v>
      </c>
      <c r="AA334" s="157">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207" t="s">
        <v>899</v>
      </c>
      <c r="H335" s="207" t="s">
        <v>899</v>
      </c>
      <c r="I335" s="207" t="s">
        <v>899</v>
      </c>
      <c r="J335" s="207" t="s">
        <v>899</v>
      </c>
      <c r="K335" s="207" t="s">
        <v>899</v>
      </c>
      <c r="L335" s="207" t="s">
        <v>899</v>
      </c>
      <c r="M335" s="207" t="s">
        <v>899</v>
      </c>
      <c r="N335" s="207" t="s">
        <v>899</v>
      </c>
      <c r="O335" s="207" t="s">
        <v>899</v>
      </c>
      <c r="P335" s="207" t="s">
        <v>899</v>
      </c>
      <c r="Q335" s="207" t="s">
        <v>899</v>
      </c>
      <c r="R335" s="207" t="s">
        <v>899</v>
      </c>
      <c r="S335" s="207" t="s">
        <v>899</v>
      </c>
      <c r="T335" s="207" t="s">
        <v>899</v>
      </c>
      <c r="U335" s="207" t="s">
        <v>899</v>
      </c>
      <c r="V335" s="207" t="s">
        <v>899</v>
      </c>
      <c r="W335" s="207" t="s">
        <v>899</v>
      </c>
      <c r="X335" s="207" t="s">
        <v>899</v>
      </c>
      <c r="Y335" s="207" t="s">
        <v>899</v>
      </c>
      <c r="Z335" s="207" t="s">
        <v>899</v>
      </c>
      <c r="AA335" s="207" t="s">
        <v>899</v>
      </c>
      <c r="AB335" s="207" t="s">
        <v>899</v>
      </c>
      <c r="AC335" s="207" t="s">
        <v>899</v>
      </c>
      <c r="AD335" s="207" t="s">
        <v>899</v>
      </c>
      <c r="AE335" s="207" t="s">
        <v>899</v>
      </c>
      <c r="AF335" s="207" t="s">
        <v>899</v>
      </c>
      <c r="AG335" s="207" t="s">
        <v>899</v>
      </c>
      <c r="AH335" s="207" t="s">
        <v>899</v>
      </c>
      <c r="AI335" s="207" t="s">
        <v>899</v>
      </c>
      <c r="AJ335" s="207" t="s">
        <v>899</v>
      </c>
      <c r="AK335" s="207" t="s">
        <v>899</v>
      </c>
      <c r="AL335" s="207" t="s">
        <v>899</v>
      </c>
      <c r="AM335" s="207" t="s">
        <v>899</v>
      </c>
      <c r="AN335" s="207" t="s">
        <v>899</v>
      </c>
      <c r="AO335" s="207" t="s">
        <v>899</v>
      </c>
      <c r="AP335" s="207" t="s">
        <v>899</v>
      </c>
      <c r="AQ335" s="207" t="s">
        <v>899</v>
      </c>
      <c r="AR335" s="207" t="s">
        <v>899</v>
      </c>
      <c r="AS335" s="207" t="s">
        <v>899</v>
      </c>
      <c r="AT335" s="20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65">
        <v>469.3</v>
      </c>
      <c r="N336" s="179">
        <v>0.36099999999999999</v>
      </c>
      <c r="O336" s="199">
        <v>0.36799999999999999</v>
      </c>
      <c r="P336" s="199">
        <v>0.48499999999999999</v>
      </c>
      <c r="Q336" s="199">
        <v>0.5</v>
      </c>
      <c r="R336" s="165">
        <v>0.45300000000000001</v>
      </c>
      <c r="S336" s="165">
        <v>0.42199999999999999</v>
      </c>
      <c r="T336" s="196">
        <v>0.437</v>
      </c>
      <c r="U336" s="198">
        <v>0.48499999999999999</v>
      </c>
      <c r="V336" s="166">
        <v>0.51500000000000001</v>
      </c>
      <c r="W336" s="166">
        <v>0.52800000000000002</v>
      </c>
      <c r="X336" s="179">
        <v>0.53200000000000003</v>
      </c>
      <c r="Y336" s="179">
        <v>0.57899999999999996</v>
      </c>
      <c r="Z336" s="157">
        <v>0.48799999999999999</v>
      </c>
      <c r="AA336" s="157">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65">
        <v>553.20000000000005</v>
      </c>
      <c r="N337" s="179">
        <v>0.41699999999999998</v>
      </c>
      <c r="O337" s="199">
        <v>0.43</v>
      </c>
      <c r="P337" s="199">
        <v>0.46100000000000002</v>
      </c>
      <c r="Q337" s="199">
        <v>0.44</v>
      </c>
      <c r="R337" s="165">
        <v>0.46500000000000002</v>
      </c>
      <c r="S337" s="165">
        <v>0.443</v>
      </c>
      <c r="T337" s="165">
        <v>0.43099999999999999</v>
      </c>
      <c r="U337" s="198">
        <v>0.44700000000000001</v>
      </c>
      <c r="V337" s="166">
        <v>0.439</v>
      </c>
      <c r="W337" s="166">
        <v>0.433</v>
      </c>
      <c r="X337" s="179">
        <v>0.42299999999999999</v>
      </c>
      <c r="Y337" s="179">
        <v>0.376</v>
      </c>
      <c r="Z337" s="157">
        <v>0.37</v>
      </c>
      <c r="AA337" s="157">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65">
        <v>475.2</v>
      </c>
      <c r="N338" s="179">
        <v>0.374</v>
      </c>
      <c r="O338" s="199">
        <v>0.36599999999999999</v>
      </c>
      <c r="P338" s="199">
        <v>0.35399999999999998</v>
      </c>
      <c r="Q338" s="199">
        <v>0.34399999999999997</v>
      </c>
      <c r="R338" s="165">
        <v>0.35299999999999998</v>
      </c>
      <c r="S338" s="165">
        <v>0.34599999999999997</v>
      </c>
      <c r="T338" s="165">
        <v>0.34200000000000003</v>
      </c>
      <c r="U338" s="199">
        <v>0.36099999999999999</v>
      </c>
      <c r="V338" s="201">
        <v>0.36099999999999999</v>
      </c>
      <c r="W338" s="201">
        <v>0.38100000000000001</v>
      </c>
      <c r="X338" s="179">
        <v>0.40500000000000003</v>
      </c>
      <c r="Y338" s="179" t="s">
        <v>899</v>
      </c>
      <c r="Z338" s="157" t="s">
        <v>899</v>
      </c>
      <c r="AA338" s="157" t="s">
        <v>899</v>
      </c>
      <c r="AB338" s="157" t="s">
        <v>899</v>
      </c>
      <c r="AC338" s="157" t="s">
        <v>899</v>
      </c>
      <c r="AD338" s="157" t="s">
        <v>899</v>
      </c>
      <c r="AE338" s="157" t="s">
        <v>899</v>
      </c>
      <c r="AF338" s="157" t="s">
        <v>899</v>
      </c>
      <c r="AG338" s="157" t="s">
        <v>908</v>
      </c>
      <c r="AH338" s="157">
        <v>0</v>
      </c>
      <c r="AI338" s="157" t="s">
        <v>908</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96">
        <v>519.5</v>
      </c>
      <c r="N339" s="179">
        <v>0.38700000000000001</v>
      </c>
      <c r="O339" s="198">
        <v>0.432</v>
      </c>
      <c r="P339" s="198">
        <v>0.45700000000000002</v>
      </c>
      <c r="Q339" s="198">
        <v>0.441</v>
      </c>
      <c r="R339" s="196">
        <v>0.45500000000000002</v>
      </c>
      <c r="S339" s="196">
        <v>0.46700000000000003</v>
      </c>
      <c r="T339" s="196">
        <v>0.47399999999999998</v>
      </c>
      <c r="U339" s="198">
        <v>0.44800000000000001</v>
      </c>
      <c r="V339" s="166">
        <v>0.443</v>
      </c>
      <c r="W339" s="166">
        <v>0.45</v>
      </c>
      <c r="X339" s="179">
        <v>0.48299999999999998</v>
      </c>
      <c r="Y339" s="179">
        <v>0.60299999999999998</v>
      </c>
      <c r="Z339" s="157">
        <v>0.55800000000000005</v>
      </c>
      <c r="AA339" s="157">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62">
        <v>606.9</v>
      </c>
      <c r="N340" s="179">
        <v>0.39900000000000002</v>
      </c>
      <c r="O340" s="200">
        <v>0.40600000000000003</v>
      </c>
      <c r="P340" s="200">
        <v>0.40400000000000003</v>
      </c>
      <c r="Q340" s="200">
        <v>0.374</v>
      </c>
      <c r="R340" s="162">
        <v>0.36</v>
      </c>
      <c r="S340" s="162">
        <v>0.36399999999999999</v>
      </c>
      <c r="T340" s="162">
        <v>0.35899999999999999</v>
      </c>
      <c r="U340" s="200">
        <v>0.33200000000000002</v>
      </c>
      <c r="V340" s="202">
        <v>0.32500000000000001</v>
      </c>
      <c r="W340" s="202">
        <v>0.33300000000000002</v>
      </c>
      <c r="X340" s="179">
        <v>0.31900000000000001</v>
      </c>
      <c r="Y340" s="179" t="s">
        <v>899</v>
      </c>
      <c r="Z340" s="157" t="s">
        <v>899</v>
      </c>
      <c r="AA340" s="157" t="s">
        <v>899</v>
      </c>
      <c r="AB340" s="157" t="s">
        <v>899</v>
      </c>
      <c r="AC340" s="157" t="s">
        <v>899</v>
      </c>
      <c r="AD340" s="157" t="s">
        <v>899</v>
      </c>
      <c r="AE340" s="157" t="s">
        <v>899</v>
      </c>
      <c r="AF340" s="157" t="s">
        <v>899</v>
      </c>
      <c r="AG340" s="157" t="s">
        <v>908</v>
      </c>
      <c r="AH340" s="157">
        <v>0</v>
      </c>
      <c r="AI340" s="157" t="s">
        <v>908</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96">
        <v>434.5</v>
      </c>
      <c r="N341" s="179">
        <v>0.54</v>
      </c>
      <c r="O341" s="198">
        <v>0.56999999999999995</v>
      </c>
      <c r="P341" s="198">
        <v>0.58599999999999997</v>
      </c>
      <c r="Q341" s="198">
        <v>0.55400000000000005</v>
      </c>
      <c r="R341" s="196">
        <v>0.58399999999999996</v>
      </c>
      <c r="S341" s="196">
        <v>0.58699999999999997</v>
      </c>
      <c r="T341" s="196">
        <v>0.59399999999999997</v>
      </c>
      <c r="U341" s="198">
        <v>0.57099999999999995</v>
      </c>
      <c r="V341" s="166">
        <v>0.57199999999999995</v>
      </c>
      <c r="W341" s="166">
        <v>0.55400000000000005</v>
      </c>
      <c r="X341" s="179">
        <v>0.54300000000000004</v>
      </c>
      <c r="Y341" s="179" t="s">
        <v>899</v>
      </c>
      <c r="Z341" s="157" t="s">
        <v>899</v>
      </c>
      <c r="AA341" s="157" t="s">
        <v>899</v>
      </c>
      <c r="AB341" s="157" t="s">
        <v>899</v>
      </c>
      <c r="AC341" s="157" t="s">
        <v>899</v>
      </c>
      <c r="AD341" s="157" t="s">
        <v>899</v>
      </c>
      <c r="AE341" s="157" t="s">
        <v>899</v>
      </c>
      <c r="AF341" s="157" t="s">
        <v>899</v>
      </c>
      <c r="AG341" s="157" t="s">
        <v>908</v>
      </c>
      <c r="AH341" s="157">
        <v>0</v>
      </c>
      <c r="AI341" s="157" t="s">
        <v>908</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65">
        <v>505.8</v>
      </c>
      <c r="N342" s="179">
        <v>0.41099999999999998</v>
      </c>
      <c r="O342" s="199">
        <v>0.42599999999999999</v>
      </c>
      <c r="P342" s="199">
        <v>0.41299999999999998</v>
      </c>
      <c r="Q342" s="199">
        <v>0.39200000000000002</v>
      </c>
      <c r="R342" s="165">
        <v>0.41499999999999998</v>
      </c>
      <c r="S342" s="165">
        <v>0.38</v>
      </c>
      <c r="T342" s="165">
        <v>0.38900000000000001</v>
      </c>
      <c r="U342" s="198">
        <v>0.38900000000000001</v>
      </c>
      <c r="V342" s="166">
        <v>0.40500000000000003</v>
      </c>
      <c r="W342" s="166">
        <v>0.503</v>
      </c>
      <c r="X342" s="179">
        <v>0.495</v>
      </c>
      <c r="Y342" s="179">
        <v>0.20599999999999999</v>
      </c>
      <c r="Z342" s="157">
        <v>0.153</v>
      </c>
      <c r="AA342" s="157">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65">
        <v>605.6</v>
      </c>
      <c r="N343" s="179">
        <v>0.35899999999999999</v>
      </c>
      <c r="O343" s="199">
        <v>0.40799999999999997</v>
      </c>
      <c r="P343" s="199">
        <v>0.49</v>
      </c>
      <c r="Q343" s="199">
        <v>0.45600000000000002</v>
      </c>
      <c r="R343" s="165">
        <v>0.441</v>
      </c>
      <c r="S343" s="165">
        <v>0.39500000000000002</v>
      </c>
      <c r="T343" s="165">
        <v>0.42</v>
      </c>
      <c r="U343" s="198">
        <v>0.41899999999999998</v>
      </c>
      <c r="V343" s="166">
        <v>0.38100000000000001</v>
      </c>
      <c r="W343" s="166">
        <v>0.375</v>
      </c>
      <c r="X343" s="179">
        <v>0.35299999999999998</v>
      </c>
      <c r="Y343" s="179">
        <v>9.4E-2</v>
      </c>
      <c r="Z343" s="157">
        <v>6.8000000000000005E-2</v>
      </c>
      <c r="AA343" s="157">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65">
        <v>497.3</v>
      </c>
      <c r="N344" s="179">
        <v>0.36199999999999999</v>
      </c>
      <c r="O344" s="199">
        <v>0.36199999999999999</v>
      </c>
      <c r="P344" s="199">
        <v>0.371</v>
      </c>
      <c r="Q344" s="199">
        <v>0.36099999999999999</v>
      </c>
      <c r="R344" s="165">
        <v>0.376</v>
      </c>
      <c r="S344" s="165">
        <v>0.374</v>
      </c>
      <c r="T344" s="165">
        <v>0.36699999999999999</v>
      </c>
      <c r="U344" s="198">
        <v>0.35699999999999998</v>
      </c>
      <c r="V344" s="166">
        <v>0.36599999999999999</v>
      </c>
      <c r="W344" s="166">
        <v>0.36599999999999999</v>
      </c>
      <c r="X344" s="179">
        <v>0.35299999999999998</v>
      </c>
      <c r="Y344" s="179" t="s">
        <v>899</v>
      </c>
      <c r="Z344" s="157" t="s">
        <v>899</v>
      </c>
      <c r="AA344" s="157" t="s">
        <v>899</v>
      </c>
      <c r="AB344" s="157" t="s">
        <v>899</v>
      </c>
      <c r="AC344" s="157" t="s">
        <v>899</v>
      </c>
      <c r="AD344" s="157" t="s">
        <v>899</v>
      </c>
      <c r="AE344" s="157" t="s">
        <v>899</v>
      </c>
      <c r="AF344" s="157" t="s">
        <v>899</v>
      </c>
      <c r="AG344" s="157" t="s">
        <v>908</v>
      </c>
      <c r="AH344" s="157">
        <v>0</v>
      </c>
      <c r="AI344" s="157" t="s">
        <v>908</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65">
        <v>594.20000000000005</v>
      </c>
      <c r="N345" s="179">
        <v>0.42799999999999999</v>
      </c>
      <c r="O345" s="199">
        <v>0.433</v>
      </c>
      <c r="P345" s="199">
        <v>0.435</v>
      </c>
      <c r="Q345" s="199">
        <v>0.40899999999999997</v>
      </c>
      <c r="R345" s="165">
        <v>0.40799999999999997</v>
      </c>
      <c r="S345" s="165">
        <v>0.41399999999999998</v>
      </c>
      <c r="T345" s="165">
        <v>0.42699999999999999</v>
      </c>
      <c r="U345" s="199">
        <v>0.42899999999999999</v>
      </c>
      <c r="V345" s="201">
        <v>0.433</v>
      </c>
      <c r="W345" s="201">
        <v>0.436</v>
      </c>
      <c r="X345" s="179">
        <v>0.433</v>
      </c>
      <c r="Y345" s="179">
        <v>0.48499999999999999</v>
      </c>
      <c r="Z345" s="157">
        <v>0.48099999999999998</v>
      </c>
      <c r="AA345" s="157">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65">
        <v>465</v>
      </c>
      <c r="N346" s="179">
        <v>0.36099999999999999</v>
      </c>
      <c r="O346" s="199">
        <v>0.36599999999999999</v>
      </c>
      <c r="P346" s="199">
        <v>0.34100000000000003</v>
      </c>
      <c r="Q346" s="199">
        <v>0.34300000000000003</v>
      </c>
      <c r="R346" s="165">
        <v>0.34599999999999997</v>
      </c>
      <c r="S346" s="165">
        <v>0.34499999999999997</v>
      </c>
      <c r="T346" s="165">
        <v>0.35299999999999998</v>
      </c>
      <c r="U346" s="198">
        <v>0.35799999999999998</v>
      </c>
      <c r="V346" s="166">
        <v>0.376</v>
      </c>
      <c r="W346" s="166">
        <v>0.4</v>
      </c>
      <c r="X346" s="179">
        <v>0.41499999999999998</v>
      </c>
      <c r="Y346" s="179" t="s">
        <v>899</v>
      </c>
      <c r="Z346" s="157" t="s">
        <v>899</v>
      </c>
      <c r="AA346" s="157" t="s">
        <v>899</v>
      </c>
      <c r="AB346" s="157" t="s">
        <v>899</v>
      </c>
      <c r="AC346" s="157" t="s">
        <v>899</v>
      </c>
      <c r="AD346" s="157" t="s">
        <v>899</v>
      </c>
      <c r="AE346" s="157" t="s">
        <v>899</v>
      </c>
      <c r="AF346" s="157" t="s">
        <v>899</v>
      </c>
      <c r="AG346" s="157" t="s">
        <v>908</v>
      </c>
      <c r="AH346" s="157">
        <v>0</v>
      </c>
      <c r="AI346" s="157" t="s">
        <v>908</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65">
        <v>479.1</v>
      </c>
      <c r="N347" s="179">
        <v>0.437</v>
      </c>
      <c r="O347" s="199">
        <v>0.436</v>
      </c>
      <c r="P347" s="199">
        <v>0.45200000000000001</v>
      </c>
      <c r="Q347" s="199">
        <v>0.42199999999999999</v>
      </c>
      <c r="R347" s="165">
        <v>0.43</v>
      </c>
      <c r="S347" s="165">
        <v>0.439</v>
      </c>
      <c r="T347" s="165">
        <v>0.442</v>
      </c>
      <c r="U347" s="198">
        <v>0.436</v>
      </c>
      <c r="V347" s="166">
        <v>0.438</v>
      </c>
      <c r="W347" s="166">
        <v>0.44800000000000001</v>
      </c>
      <c r="X347" s="179">
        <v>0.44700000000000001</v>
      </c>
      <c r="Y347" s="179" t="s">
        <v>899</v>
      </c>
      <c r="Z347" s="157" t="s">
        <v>899</v>
      </c>
      <c r="AA347" s="157" t="s">
        <v>899</v>
      </c>
      <c r="AB347" s="157" t="s">
        <v>899</v>
      </c>
      <c r="AC347" s="157" t="s">
        <v>899</v>
      </c>
      <c r="AD347" s="157" t="s">
        <v>899</v>
      </c>
      <c r="AE347" s="157" t="s">
        <v>899</v>
      </c>
      <c r="AF347" s="157" t="s">
        <v>899</v>
      </c>
      <c r="AG347" s="157" t="s">
        <v>908</v>
      </c>
      <c r="AH347" s="157">
        <v>0</v>
      </c>
      <c r="AI347" s="157" t="s">
        <v>908</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65" t="s">
        <v>899</v>
      </c>
      <c r="N348" s="179">
        <v>0.41699999999999998</v>
      </c>
      <c r="O348" s="199">
        <v>0.41799999999999998</v>
      </c>
      <c r="P348" s="199">
        <v>0.39100000000000001</v>
      </c>
      <c r="Q348" s="199">
        <v>0.47199999999999998</v>
      </c>
      <c r="R348" s="165">
        <v>0.52500000000000002</v>
      </c>
      <c r="S348" s="165">
        <v>0.51800000000000002</v>
      </c>
      <c r="T348" s="165">
        <v>0.51300000000000001</v>
      </c>
      <c r="U348" s="198">
        <v>0.52100000000000002</v>
      </c>
      <c r="V348" s="166">
        <v>0.51400000000000001</v>
      </c>
      <c r="W348" s="166">
        <v>0.49399999999999999</v>
      </c>
      <c r="X348" s="179" t="s">
        <v>899</v>
      </c>
      <c r="Y348" s="179" t="s">
        <v>899</v>
      </c>
      <c r="Z348" s="157" t="s">
        <v>899</v>
      </c>
      <c r="AA348" s="157" t="s">
        <v>899</v>
      </c>
      <c r="AB348" s="157" t="s">
        <v>899</v>
      </c>
      <c r="AC348" s="157" t="s">
        <v>899</v>
      </c>
      <c r="AD348" s="157" t="s">
        <v>899</v>
      </c>
      <c r="AE348" s="157" t="s">
        <v>899</v>
      </c>
      <c r="AF348" s="157" t="s">
        <v>899</v>
      </c>
      <c r="AG348" s="157" t="s">
        <v>908</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65">
        <v>477.9</v>
      </c>
      <c r="N349" s="179">
        <v>0.46400000000000002</v>
      </c>
      <c r="O349" s="199">
        <v>0.48499999999999999</v>
      </c>
      <c r="P349" s="199">
        <v>0.47499999999999998</v>
      </c>
      <c r="Q349" s="199">
        <v>0.49199999999999999</v>
      </c>
      <c r="R349" s="165">
        <v>0.51100000000000001</v>
      </c>
      <c r="S349" s="165">
        <v>0.51400000000000001</v>
      </c>
      <c r="T349" s="165">
        <v>0.44900000000000001</v>
      </c>
      <c r="U349" s="198">
        <v>0.42899999999999999</v>
      </c>
      <c r="V349" s="166">
        <v>0.432</v>
      </c>
      <c r="W349" s="166">
        <v>0.45700000000000002</v>
      </c>
      <c r="X349" s="179">
        <v>0.44500000000000001</v>
      </c>
      <c r="Y349" s="179" t="s">
        <v>899</v>
      </c>
      <c r="Z349" s="157" t="s">
        <v>899</v>
      </c>
      <c r="AA349" s="157" t="s">
        <v>899</v>
      </c>
      <c r="AB349" s="157" t="s">
        <v>899</v>
      </c>
      <c r="AC349" s="157" t="s">
        <v>899</v>
      </c>
      <c r="AD349" s="157" t="s">
        <v>899</v>
      </c>
      <c r="AE349" s="157" t="s">
        <v>899</v>
      </c>
      <c r="AF349" s="157" t="s">
        <v>899</v>
      </c>
      <c r="AG349" s="157" t="s">
        <v>908</v>
      </c>
      <c r="AH349" s="157">
        <v>0</v>
      </c>
      <c r="AI349" s="157" t="s">
        <v>908</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65">
        <v>565.29999999999995</v>
      </c>
      <c r="N350" s="179">
        <v>0.27600000000000002</v>
      </c>
      <c r="O350" s="199">
        <v>0.29899999999999999</v>
      </c>
      <c r="P350" s="199">
        <v>0.317</v>
      </c>
      <c r="Q350" s="199">
        <v>0.30099999999999999</v>
      </c>
      <c r="R350" s="165">
        <v>0.31900000000000001</v>
      </c>
      <c r="S350" s="165">
        <v>0.309</v>
      </c>
      <c r="T350" s="165">
        <v>0.32800000000000001</v>
      </c>
      <c r="U350" s="198">
        <v>0.32800000000000001</v>
      </c>
      <c r="V350" s="166">
        <v>0.32600000000000001</v>
      </c>
      <c r="W350" s="166">
        <v>0.31900000000000001</v>
      </c>
      <c r="X350" s="179">
        <v>0.33600000000000002</v>
      </c>
      <c r="Y350" s="179" t="s">
        <v>899</v>
      </c>
      <c r="Z350" s="157" t="s">
        <v>899</v>
      </c>
      <c r="AA350" s="157" t="s">
        <v>899</v>
      </c>
      <c r="AB350" s="157" t="s">
        <v>899</v>
      </c>
      <c r="AC350" s="157" t="s">
        <v>899</v>
      </c>
      <c r="AD350" s="157" t="s">
        <v>899</v>
      </c>
      <c r="AE350" s="157" t="s">
        <v>899</v>
      </c>
      <c r="AF350" s="157" t="s">
        <v>899</v>
      </c>
      <c r="AG350" s="157" t="s">
        <v>908</v>
      </c>
      <c r="AH350" s="157">
        <v>0</v>
      </c>
      <c r="AI350" s="157" t="s">
        <v>908</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8">
        <v>0.42499999999999999</v>
      </c>
      <c r="S351" s="198">
        <v>0.42799999999999999</v>
      </c>
      <c r="T351" s="196">
        <v>0.42499999999999999</v>
      </c>
      <c r="U351" s="196">
        <v>0.44900000000000001</v>
      </c>
      <c r="V351" s="196">
        <v>0.436</v>
      </c>
      <c r="W351" s="198">
        <v>0.48399999999999999</v>
      </c>
      <c r="X351" s="198">
        <v>0.441</v>
      </c>
      <c r="Y351" s="179">
        <v>0.54200000000000004</v>
      </c>
      <c r="Z351" s="157">
        <v>0.52900000000000003</v>
      </c>
      <c r="AA351" s="157">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
        <v>307</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
        <v>310</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
        <v>311</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
        <v>317</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
        <v>330</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
        <v>332</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A10"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3" t="s">
        <v>856</v>
      </c>
      <c r="G20" s="373"/>
      <c r="H20" s="247" t="s">
        <v>800</v>
      </c>
      <c r="I20" s="248" t="s">
        <v>792</v>
      </c>
    </row>
    <row r="21" spans="1:12">
      <c r="C21" s="245"/>
      <c r="E21" s="261" t="s">
        <v>848</v>
      </c>
      <c r="F21" s="373"/>
      <c r="G21" s="373"/>
      <c r="H21" s="8" t="s">
        <v>810</v>
      </c>
      <c r="I21" s="10" t="s">
        <v>821</v>
      </c>
    </row>
    <row r="22" spans="1:12" ht="36">
      <c r="C22" s="245"/>
      <c r="E22" s="262" t="s">
        <v>849</v>
      </c>
      <c r="F22" s="373"/>
      <c r="G22" s="373"/>
    </row>
    <row r="23" spans="1:12">
      <c r="C23" s="245"/>
      <c r="E23" s="263">
        <v>87</v>
      </c>
      <c r="F23" s="373"/>
      <c r="G23" s="373"/>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CDD86B-E85A-4081-A834-01549C9FE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2022-04-13T09:28:02Z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