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020424/"/>
    </mc:Choice>
  </mc:AlternateContent>
  <xr:revisionPtr revIDLastSave="40" documentId="8_{03F319B8-8AEF-4F9C-B213-824B6F1703ED}" xr6:coauthVersionLast="47" xr6:coauthVersionMax="47" xr10:uidLastSave="{B5A29E24-CA15-4201-A966-2A417E48DF2A}"/>
  <workbookProtection workbookAlgorithmName="SHA-512" workbookHashValue="SQttAzIImQc0neV7GZsrYu2ovx1UT+1cl259Og1nlE4bu22lkc8z+o187jDnzbOr2ke7dF6/pVmONSMZ/s320A==" workbookSaltValue="pw2lqxZ5khyqv+0GqTMI/g=="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2" i="8" l="1"/>
  <c r="U91" i="8"/>
  <c r="E91" i="8"/>
  <c r="B91" i="8"/>
  <c r="B89" i="8"/>
  <c r="B38" i="8"/>
  <c r="D86" i="16" l="1"/>
  <c r="E86" i="16"/>
  <c r="D87" i="16"/>
  <c r="E87" i="16"/>
  <c r="D88" i="16"/>
  <c r="E88" i="16"/>
  <c r="D89" i="16"/>
  <c r="E89" i="16"/>
  <c r="D90" i="16"/>
  <c r="H90" i="16" s="1"/>
  <c r="I90" i="16" s="1"/>
  <c r="E90" i="16"/>
  <c r="D91" i="16"/>
  <c r="E91" i="16"/>
  <c r="D92" i="16"/>
  <c r="E92" i="16"/>
  <c r="D93" i="16"/>
  <c r="E93" i="16"/>
  <c r="D94" i="16"/>
  <c r="H94" i="16" s="1"/>
  <c r="I94" i="16" s="1"/>
  <c r="E94" i="16"/>
  <c r="D95" i="16"/>
  <c r="H95" i="16" s="1"/>
  <c r="I95" i="16" s="1"/>
  <c r="E95" i="16"/>
  <c r="D96" i="16"/>
  <c r="E96" i="16"/>
  <c r="D97" i="16"/>
  <c r="E97" i="16"/>
  <c r="D98" i="16"/>
  <c r="E98" i="16"/>
  <c r="D99" i="16"/>
  <c r="E99" i="16"/>
  <c r="D100" i="16"/>
  <c r="E100" i="16"/>
  <c r="D101" i="16"/>
  <c r="E101" i="16"/>
  <c r="D102" i="16"/>
  <c r="E102" i="16"/>
  <c r="D103" i="16"/>
  <c r="E103" i="16"/>
  <c r="D104" i="16"/>
  <c r="E104" i="16"/>
  <c r="D105" i="16"/>
  <c r="E105" i="16"/>
  <c r="D106" i="16"/>
  <c r="E106" i="16"/>
  <c r="D107" i="16"/>
  <c r="E107" i="16"/>
  <c r="D108" i="16"/>
  <c r="H108" i="16" s="1"/>
  <c r="I108" i="16" s="1"/>
  <c r="E108" i="16"/>
  <c r="D109" i="16"/>
  <c r="E109" i="16"/>
  <c r="D110" i="16"/>
  <c r="E110" i="16"/>
  <c r="D111" i="16"/>
  <c r="E111" i="16"/>
  <c r="D112" i="16"/>
  <c r="E112" i="16"/>
  <c r="D113" i="16"/>
  <c r="E113" i="16"/>
  <c r="D114" i="16"/>
  <c r="E114" i="16"/>
  <c r="D115" i="16"/>
  <c r="E115" i="16"/>
  <c r="D116" i="16"/>
  <c r="E116" i="16"/>
  <c r="D117" i="16"/>
  <c r="E117" i="16"/>
  <c r="D118" i="16"/>
  <c r="H118" i="16" s="1"/>
  <c r="I118" i="16" s="1"/>
  <c r="E118" i="16"/>
  <c r="D119" i="16"/>
  <c r="E119" i="16"/>
  <c r="D120" i="16"/>
  <c r="E120" i="16"/>
  <c r="D121" i="16"/>
  <c r="E121" i="16"/>
  <c r="D122" i="16"/>
  <c r="E122" i="16"/>
  <c r="D123" i="16"/>
  <c r="E123" i="16"/>
  <c r="D124" i="16"/>
  <c r="E124" i="16"/>
  <c r="D125" i="16"/>
  <c r="H125" i="16" s="1"/>
  <c r="I125" i="16" s="1"/>
  <c r="E125" i="16"/>
  <c r="D126" i="16"/>
  <c r="E126" i="16"/>
  <c r="D127" i="16"/>
  <c r="H127" i="16" s="1"/>
  <c r="I127" i="16" s="1"/>
  <c r="E127" i="16"/>
  <c r="D128" i="16"/>
  <c r="E128" i="16"/>
  <c r="D129" i="16"/>
  <c r="E129" i="16"/>
  <c r="D130" i="16"/>
  <c r="H130" i="16" s="1"/>
  <c r="I130" i="16" s="1"/>
  <c r="E130" i="16"/>
  <c r="D131" i="16"/>
  <c r="E131" i="16"/>
  <c r="D132" i="16"/>
  <c r="E132" i="16"/>
  <c r="D133" i="16"/>
  <c r="H133" i="16" s="1"/>
  <c r="I133" i="16" s="1"/>
  <c r="E133" i="16"/>
  <c r="D134" i="16"/>
  <c r="E134" i="16"/>
  <c r="D135" i="16"/>
  <c r="E135" i="16"/>
  <c r="D136" i="16"/>
  <c r="H136" i="16" s="1"/>
  <c r="I136" i="16" s="1"/>
  <c r="E136" i="16"/>
  <c r="D137" i="16"/>
  <c r="E137" i="16"/>
  <c r="D138" i="16"/>
  <c r="E138" i="16"/>
  <c r="D139" i="16"/>
  <c r="E139" i="16"/>
  <c r="D140" i="16"/>
  <c r="E140" i="16"/>
  <c r="D141" i="16"/>
  <c r="H141" i="16" s="1"/>
  <c r="I141" i="16" s="1"/>
  <c r="E141" i="16"/>
  <c r="D142" i="16"/>
  <c r="E142" i="16"/>
  <c r="D143" i="16"/>
  <c r="E143" i="16"/>
  <c r="D144" i="16"/>
  <c r="E144" i="16"/>
  <c r="D145" i="16"/>
  <c r="E145" i="16"/>
  <c r="D146" i="16"/>
  <c r="H146" i="16" s="1"/>
  <c r="I146" i="16" s="1"/>
  <c r="E146" i="16"/>
  <c r="D147" i="16"/>
  <c r="E147" i="16"/>
  <c r="D148" i="16"/>
  <c r="E148" i="16"/>
  <c r="D149" i="16"/>
  <c r="H149" i="16" s="1"/>
  <c r="I149" i="16" s="1"/>
  <c r="E149" i="16"/>
  <c r="D150" i="16"/>
  <c r="E150" i="16"/>
  <c r="D151" i="16"/>
  <c r="E151" i="16"/>
  <c r="D152" i="16"/>
  <c r="E152" i="16"/>
  <c r="D153" i="16"/>
  <c r="E153" i="16"/>
  <c r="D154" i="16"/>
  <c r="H154" i="16" s="1"/>
  <c r="I154" i="16" s="1"/>
  <c r="E154" i="16"/>
  <c r="D155" i="16"/>
  <c r="H155" i="16" s="1"/>
  <c r="I155" i="16" s="1"/>
  <c r="E155" i="16"/>
  <c r="D156" i="16"/>
  <c r="H156" i="16" s="1"/>
  <c r="I156" i="16" s="1"/>
  <c r="E156" i="16"/>
  <c r="D157" i="16"/>
  <c r="E157" i="16"/>
  <c r="D158" i="16"/>
  <c r="E158" i="16"/>
  <c r="D159" i="16"/>
  <c r="E159" i="16"/>
  <c r="D160" i="16"/>
  <c r="H160" i="16" s="1"/>
  <c r="I160" i="16" s="1"/>
  <c r="E160" i="16"/>
  <c r="D161" i="16"/>
  <c r="H161" i="16" s="1"/>
  <c r="I161" i="16" s="1"/>
  <c r="E161" i="16"/>
  <c r="D162" i="16"/>
  <c r="H162" i="16" s="1"/>
  <c r="I162" i="16" s="1"/>
  <c r="E162" i="16"/>
  <c r="D163" i="16"/>
  <c r="H163" i="16" s="1"/>
  <c r="I163" i="16" s="1"/>
  <c r="E163" i="16"/>
  <c r="D164" i="16"/>
  <c r="E164" i="16"/>
  <c r="D165" i="16"/>
  <c r="E165" i="16"/>
  <c r="D166" i="16"/>
  <c r="E166" i="16"/>
  <c r="H166" i="16"/>
  <c r="I166" i="16" s="1"/>
  <c r="D167" i="16"/>
  <c r="E167" i="16"/>
  <c r="D168" i="16"/>
  <c r="E168" i="16"/>
  <c r="D169" i="16"/>
  <c r="E169" i="16"/>
  <c r="D170" i="16"/>
  <c r="H170" i="16" s="1"/>
  <c r="I170" i="16" s="1"/>
  <c r="E170" i="16"/>
  <c r="D171" i="16"/>
  <c r="E171" i="16"/>
  <c r="D172" i="16"/>
  <c r="E172" i="16"/>
  <c r="D173" i="16"/>
  <c r="E173" i="16"/>
  <c r="D174" i="16"/>
  <c r="H174" i="16" s="1"/>
  <c r="I174" i="16" s="1"/>
  <c r="E174" i="16"/>
  <c r="D175" i="16"/>
  <c r="E175" i="16"/>
  <c r="D176" i="16"/>
  <c r="E176" i="16"/>
  <c r="D177" i="16"/>
  <c r="E177" i="16"/>
  <c r="D178" i="16"/>
  <c r="E178" i="16"/>
  <c r="D179" i="16"/>
  <c r="H179" i="16" s="1"/>
  <c r="I179" i="16" s="1"/>
  <c r="E179" i="16"/>
  <c r="D180" i="16"/>
  <c r="E180" i="16"/>
  <c r="D181" i="16"/>
  <c r="E181" i="16"/>
  <c r="D182" i="16"/>
  <c r="E182" i="16"/>
  <c r="D183" i="16"/>
  <c r="E183" i="16"/>
  <c r="D184" i="16"/>
  <c r="H184" i="16" s="1"/>
  <c r="I184" i="16" s="1"/>
  <c r="E184" i="16"/>
  <c r="D185" i="16"/>
  <c r="E185" i="16"/>
  <c r="D186" i="16"/>
  <c r="E186" i="16"/>
  <c r="D187" i="16"/>
  <c r="E187" i="16"/>
  <c r="D188" i="16"/>
  <c r="E188" i="16"/>
  <c r="D189" i="16"/>
  <c r="E189" i="16"/>
  <c r="D190" i="16"/>
  <c r="E190" i="16"/>
  <c r="D191" i="16"/>
  <c r="E191" i="16"/>
  <c r="D192" i="16"/>
  <c r="E192" i="16"/>
  <c r="D193" i="16"/>
  <c r="H193" i="16" s="1"/>
  <c r="I193" i="16" s="1"/>
  <c r="E193" i="16"/>
  <c r="D194" i="16"/>
  <c r="E194" i="16"/>
  <c r="D195" i="16"/>
  <c r="H195" i="16" s="1"/>
  <c r="I195" i="16" s="1"/>
  <c r="E195" i="16"/>
  <c r="D196" i="16"/>
  <c r="E196" i="16"/>
  <c r="D197" i="16"/>
  <c r="E197" i="16"/>
  <c r="D198" i="16"/>
  <c r="E198" i="16"/>
  <c r="D199" i="16"/>
  <c r="E199" i="16"/>
  <c r="D200" i="16"/>
  <c r="E200" i="16"/>
  <c r="D201" i="16"/>
  <c r="E201" i="16"/>
  <c r="D202" i="16"/>
  <c r="E202" i="16"/>
  <c r="D203" i="16"/>
  <c r="E203" i="16"/>
  <c r="D204" i="16"/>
  <c r="E204" i="16"/>
  <c r="D205" i="16"/>
  <c r="H205" i="16" s="1"/>
  <c r="I205" i="16" s="1"/>
  <c r="E205" i="16"/>
  <c r="D206" i="16"/>
  <c r="E206" i="16"/>
  <c r="D207" i="16"/>
  <c r="E207" i="16"/>
  <c r="D208" i="16"/>
  <c r="E208" i="16"/>
  <c r="D209" i="16"/>
  <c r="E209" i="16"/>
  <c r="D210" i="16"/>
  <c r="E210" i="16"/>
  <c r="D211" i="16"/>
  <c r="E211" i="16"/>
  <c r="D212" i="16"/>
  <c r="E212" i="16"/>
  <c r="D213" i="16"/>
  <c r="E213" i="16"/>
  <c r="D214" i="16"/>
  <c r="E214" i="16"/>
  <c r="D215" i="16"/>
  <c r="H215" i="16" s="1"/>
  <c r="I215" i="16" s="1"/>
  <c r="E215" i="16"/>
  <c r="D216" i="16"/>
  <c r="E216" i="16"/>
  <c r="D217" i="16"/>
  <c r="E217" i="16"/>
  <c r="D218" i="16"/>
  <c r="E218" i="16"/>
  <c r="D219" i="16"/>
  <c r="E219" i="16"/>
  <c r="D220" i="16"/>
  <c r="E220" i="16"/>
  <c r="D221" i="16"/>
  <c r="E221" i="16"/>
  <c r="D222" i="16"/>
  <c r="E222" i="16"/>
  <c r="D223" i="16"/>
  <c r="E223" i="16"/>
  <c r="D224" i="16"/>
  <c r="H224" i="16" s="1"/>
  <c r="I224" i="16" s="1"/>
  <c r="E224" i="16"/>
  <c r="D225" i="16"/>
  <c r="E225" i="16"/>
  <c r="D226" i="16"/>
  <c r="E226" i="16"/>
  <c r="D227" i="16"/>
  <c r="E227" i="16"/>
  <c r="D228" i="16"/>
  <c r="E228" i="16"/>
  <c r="D229" i="16"/>
  <c r="H229" i="16" s="1"/>
  <c r="I229" i="16" s="1"/>
  <c r="E229" i="16"/>
  <c r="D230" i="16"/>
  <c r="E230" i="16"/>
  <c r="D231" i="16"/>
  <c r="H231" i="16" s="1"/>
  <c r="I231" i="16" s="1"/>
  <c r="E231" i="16"/>
  <c r="D232" i="16"/>
  <c r="E232" i="16"/>
  <c r="D233" i="16"/>
  <c r="E233" i="16"/>
  <c r="D234" i="16"/>
  <c r="E234" i="16"/>
  <c r="D235" i="16"/>
  <c r="H235" i="16" s="1"/>
  <c r="I235" i="16" s="1"/>
  <c r="E235" i="16"/>
  <c r="D236" i="16"/>
  <c r="E236" i="16"/>
  <c r="D237" i="16"/>
  <c r="E237" i="16"/>
  <c r="D238" i="16"/>
  <c r="E238" i="16"/>
  <c r="D239" i="16"/>
  <c r="E239" i="16"/>
  <c r="D240" i="16"/>
  <c r="E240" i="16"/>
  <c r="D241" i="16"/>
  <c r="E241" i="16"/>
  <c r="D242" i="16"/>
  <c r="H242" i="16" s="1"/>
  <c r="I242" i="16" s="1"/>
  <c r="E242" i="16"/>
  <c r="D243" i="16"/>
  <c r="H243" i="16" s="1"/>
  <c r="I243" i="16" s="1"/>
  <c r="E243" i="16"/>
  <c r="D244" i="16"/>
  <c r="E244" i="16"/>
  <c r="D245" i="16"/>
  <c r="E245" i="16"/>
  <c r="D246" i="16"/>
  <c r="H246" i="16" s="1"/>
  <c r="I246" i="16" s="1"/>
  <c r="E246" i="16"/>
  <c r="D247" i="16"/>
  <c r="E247" i="16"/>
  <c r="D248" i="16"/>
  <c r="E248" i="16"/>
  <c r="D249" i="16"/>
  <c r="H249" i="16" s="1"/>
  <c r="I249" i="16" s="1"/>
  <c r="E249" i="16"/>
  <c r="D250" i="16"/>
  <c r="E250" i="16"/>
  <c r="D251" i="16"/>
  <c r="E251" i="16"/>
  <c r="D252" i="16"/>
  <c r="E252" i="16"/>
  <c r="D253" i="16"/>
  <c r="H253" i="16" s="1"/>
  <c r="I253" i="16" s="1"/>
  <c r="E253" i="16"/>
  <c r="D254" i="16"/>
  <c r="E254" i="16"/>
  <c r="D255" i="16"/>
  <c r="E255" i="16"/>
  <c r="D256" i="16"/>
  <c r="E256" i="16"/>
  <c r="D257" i="16"/>
  <c r="E257" i="16"/>
  <c r="D258" i="16"/>
  <c r="E258" i="16"/>
  <c r="D259" i="16"/>
  <c r="E259" i="16"/>
  <c r="D260" i="16"/>
  <c r="E260" i="16"/>
  <c r="D261" i="16"/>
  <c r="E261" i="16"/>
  <c r="D262" i="16"/>
  <c r="E262" i="16"/>
  <c r="D263" i="16"/>
  <c r="E263" i="16"/>
  <c r="D264" i="16"/>
  <c r="E264" i="16"/>
  <c r="D265" i="16"/>
  <c r="E265" i="16"/>
  <c r="D266" i="16"/>
  <c r="E266" i="16"/>
  <c r="D267" i="16"/>
  <c r="H267" i="16" s="1"/>
  <c r="I267" i="16" s="1"/>
  <c r="E267" i="16"/>
  <c r="D268" i="16"/>
  <c r="E268" i="16"/>
  <c r="D269" i="16"/>
  <c r="E269" i="16"/>
  <c r="D270" i="16"/>
  <c r="H270" i="16" s="1"/>
  <c r="I270" i="16" s="1"/>
  <c r="E270" i="16"/>
  <c r="D271" i="16"/>
  <c r="E271" i="16"/>
  <c r="D272" i="16"/>
  <c r="E272" i="16"/>
  <c r="D273" i="16"/>
  <c r="E273" i="16"/>
  <c r="D274" i="16"/>
  <c r="H274" i="16" s="1"/>
  <c r="I274" i="16" s="1"/>
  <c r="E274" i="16"/>
  <c r="D275" i="16"/>
  <c r="E275" i="16"/>
  <c r="D276" i="16"/>
  <c r="E276" i="16"/>
  <c r="D277" i="16"/>
  <c r="E277" i="16"/>
  <c r="D278" i="16"/>
  <c r="E278" i="16"/>
  <c r="D279" i="16"/>
  <c r="H279" i="16" s="1"/>
  <c r="I279" i="16" s="1"/>
  <c r="E279" i="16"/>
  <c r="D280" i="16"/>
  <c r="E280" i="16"/>
  <c r="D281" i="16"/>
  <c r="E281" i="16"/>
  <c r="D282" i="16"/>
  <c r="E282" i="16"/>
  <c r="D283" i="16"/>
  <c r="E283" i="16"/>
  <c r="D284" i="16"/>
  <c r="E284" i="16"/>
  <c r="D285" i="16"/>
  <c r="E285" i="16"/>
  <c r="D286" i="16"/>
  <c r="H286" i="16" s="1"/>
  <c r="I286" i="16" s="1"/>
  <c r="E286" i="16"/>
  <c r="D287" i="16"/>
  <c r="E287" i="16"/>
  <c r="D288" i="16"/>
  <c r="E288" i="16"/>
  <c r="D289" i="16"/>
  <c r="H289" i="16" s="1"/>
  <c r="I289" i="16" s="1"/>
  <c r="E289" i="16"/>
  <c r="D290" i="16"/>
  <c r="E290" i="16"/>
  <c r="D291" i="16"/>
  <c r="E291" i="16"/>
  <c r="D292" i="16"/>
  <c r="H292" i="16" s="1"/>
  <c r="I292" i="16" s="1"/>
  <c r="E292" i="16"/>
  <c r="D293" i="16"/>
  <c r="E293" i="16"/>
  <c r="D294" i="16"/>
  <c r="E294" i="16"/>
  <c r="D295" i="16"/>
  <c r="E295" i="16"/>
  <c r="D296" i="16"/>
  <c r="E296" i="16"/>
  <c r="D297" i="16"/>
  <c r="E297" i="16"/>
  <c r="D298" i="16"/>
  <c r="E298" i="16"/>
  <c r="D299" i="16"/>
  <c r="E299" i="16"/>
  <c r="D300" i="16"/>
  <c r="E300" i="16"/>
  <c r="D301" i="16"/>
  <c r="E301" i="16"/>
  <c r="D302" i="16"/>
  <c r="E302" i="16"/>
  <c r="D303" i="16"/>
  <c r="E303" i="16"/>
  <c r="D304" i="16"/>
  <c r="E304" i="16"/>
  <c r="D305" i="16"/>
  <c r="E305" i="16"/>
  <c r="D306" i="16"/>
  <c r="H306" i="16" s="1"/>
  <c r="I306" i="16" s="1"/>
  <c r="E306" i="16"/>
  <c r="D307" i="16"/>
  <c r="H307" i="16" s="1"/>
  <c r="I307" i="16" s="1"/>
  <c r="E307" i="16"/>
  <c r="D308" i="16"/>
  <c r="E308" i="16"/>
  <c r="D309" i="16"/>
  <c r="E309" i="16"/>
  <c r="D310" i="16"/>
  <c r="E310" i="16"/>
  <c r="D311" i="16"/>
  <c r="H311" i="16" s="1"/>
  <c r="I311" i="16" s="1"/>
  <c r="E311" i="16"/>
  <c r="D312" i="16"/>
  <c r="H312" i="16" s="1"/>
  <c r="I312" i="16" s="1"/>
  <c r="E312" i="16"/>
  <c r="D313" i="16"/>
  <c r="H313" i="16" s="1"/>
  <c r="I313" i="16" s="1"/>
  <c r="E313" i="16"/>
  <c r="D314" i="16"/>
  <c r="H314" i="16" s="1"/>
  <c r="I314" i="16" s="1"/>
  <c r="E314" i="16"/>
  <c r="D315" i="16"/>
  <c r="E315" i="16"/>
  <c r="D316" i="16"/>
  <c r="E316" i="16"/>
  <c r="D317" i="16"/>
  <c r="E317" i="16"/>
  <c r="D318" i="16"/>
  <c r="E318" i="16"/>
  <c r="D319" i="16"/>
  <c r="E319" i="16"/>
  <c r="D320" i="16"/>
  <c r="E320" i="16"/>
  <c r="D321" i="16"/>
  <c r="E321" i="16"/>
  <c r="D322" i="16"/>
  <c r="E322" i="16"/>
  <c r="D323" i="16"/>
  <c r="E323" i="16"/>
  <c r="D324" i="16"/>
  <c r="E324" i="16"/>
  <c r="D325" i="16"/>
  <c r="E325" i="16"/>
  <c r="D326" i="16"/>
  <c r="E326" i="16"/>
  <c r="D327" i="16"/>
  <c r="E327" i="16"/>
  <c r="D328" i="16"/>
  <c r="H328" i="16" s="1"/>
  <c r="I328" i="16" s="1"/>
  <c r="E328" i="16"/>
  <c r="D329" i="16"/>
  <c r="H329" i="16" s="1"/>
  <c r="I329" i="16" s="1"/>
  <c r="E329" i="16"/>
  <c r="D330" i="16"/>
  <c r="E330" i="16"/>
  <c r="D331" i="16"/>
  <c r="E331" i="16"/>
  <c r="D332" i="16"/>
  <c r="E332" i="16"/>
  <c r="D333" i="16"/>
  <c r="H333" i="16" s="1"/>
  <c r="I333" i="16" s="1"/>
  <c r="E333" i="16"/>
  <c r="D334" i="16"/>
  <c r="E334" i="16"/>
  <c r="D335" i="16"/>
  <c r="E335" i="16"/>
  <c r="D336" i="16"/>
  <c r="H336" i="16" s="1"/>
  <c r="I336" i="16" s="1"/>
  <c r="E336" i="16"/>
  <c r="D337" i="16"/>
  <c r="E337" i="16"/>
  <c r="D338" i="16"/>
  <c r="E338" i="16"/>
  <c r="D339" i="16"/>
  <c r="E339" i="16"/>
  <c r="D340" i="16"/>
  <c r="E340" i="16"/>
  <c r="D341" i="16"/>
  <c r="E341" i="16"/>
  <c r="D342" i="16"/>
  <c r="E342" i="16"/>
  <c r="D343" i="16"/>
  <c r="E343" i="16"/>
  <c r="A86" i="16"/>
  <c r="A192" i="11"/>
  <c r="B192" i="11"/>
  <c r="A244" i="11"/>
  <c r="A316" i="11"/>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A275" i="11"/>
  <c r="J274" i="11"/>
  <c r="A274" i="11"/>
  <c r="A273" i="11"/>
  <c r="A272" i="11"/>
  <c r="A271" i="11"/>
  <c r="A270" i="11"/>
  <c r="J269" i="11"/>
  <c r="A269" i="11"/>
  <c r="A268" i="11"/>
  <c r="A267" i="11"/>
  <c r="J266" i="11"/>
  <c r="A266" i="11"/>
  <c r="A265" i="11"/>
  <c r="J264" i="11"/>
  <c r="A264" i="11"/>
  <c r="A263" i="11"/>
  <c r="A262" i="11"/>
  <c r="A261" i="11"/>
  <c r="J260" i="11"/>
  <c r="A260" i="11"/>
  <c r="A259" i="11"/>
  <c r="A258" i="11"/>
  <c r="J257" i="11"/>
  <c r="A257" i="11"/>
  <c r="A256" i="11"/>
  <c r="A255" i="11"/>
  <c r="A254" i="11"/>
  <c r="A253" i="11"/>
  <c r="A252" i="11"/>
  <c r="A251" i="11"/>
  <c r="A250" i="11"/>
  <c r="A249" i="11"/>
  <c r="A248" i="11"/>
  <c r="A247" i="11"/>
  <c r="A246" i="11"/>
  <c r="A245" i="11"/>
  <c r="J243" i="11"/>
  <c r="A243" i="11"/>
  <c r="J242" i="11"/>
  <c r="A242" i="11"/>
  <c r="A241" i="11"/>
  <c r="A240" i="11"/>
  <c r="A239" i="11"/>
  <c r="J238" i="11"/>
  <c r="A238" i="11"/>
  <c r="A237" i="11"/>
  <c r="A236" i="11"/>
  <c r="J235" i="11"/>
  <c r="A235" i="11"/>
  <c r="A234" i="11"/>
  <c r="A233" i="11"/>
  <c r="J232" i="11"/>
  <c r="A232" i="11"/>
  <c r="J231" i="11"/>
  <c r="A231" i="11"/>
  <c r="A230" i="11"/>
  <c r="A229" i="11"/>
  <c r="A228" i="11"/>
  <c r="A227" i="11"/>
  <c r="A226" i="11"/>
  <c r="A225" i="11"/>
  <c r="J224" i="11"/>
  <c r="A224" i="11"/>
  <c r="A223" i="11"/>
  <c r="A222" i="11"/>
  <c r="A221" i="11"/>
  <c r="J220" i="11"/>
  <c r="A220" i="11"/>
  <c r="A219" i="11"/>
  <c r="J218" i="11"/>
  <c r="A218" i="11"/>
  <c r="A217" i="11"/>
  <c r="A216" i="11"/>
  <c r="A215" i="11"/>
  <c r="A214" i="11"/>
  <c r="J213" i="11"/>
  <c r="A213" i="11"/>
  <c r="A212" i="11"/>
  <c r="A211" i="11"/>
  <c r="A210" i="11"/>
  <c r="A209" i="11"/>
  <c r="A208" i="11"/>
  <c r="A207" i="11"/>
  <c r="J206" i="11"/>
  <c r="A206" i="11"/>
  <c r="A205" i="11"/>
  <c r="J204" i="11"/>
  <c r="A204" i="11"/>
  <c r="A203" i="11"/>
  <c r="A202" i="11"/>
  <c r="J201" i="11"/>
  <c r="A201" i="11"/>
  <c r="A200" i="11"/>
  <c r="A199" i="11"/>
  <c r="A198" i="11"/>
  <c r="J197" i="11"/>
  <c r="A197" i="11"/>
  <c r="A196" i="11"/>
  <c r="A195" i="11"/>
  <c r="J194" i="11"/>
  <c r="A194" i="11"/>
  <c r="A193" i="11"/>
  <c r="A191" i="11"/>
  <c r="A190" i="11"/>
  <c r="A189" i="11"/>
  <c r="A188" i="11"/>
  <c r="A187" i="11"/>
  <c r="A186" i="11"/>
  <c r="A185" i="11"/>
  <c r="J184" i="11"/>
  <c r="A184" i="11"/>
  <c r="J183" i="11"/>
  <c r="A183" i="11"/>
  <c r="A182" i="11"/>
  <c r="J181" i="11"/>
  <c r="A181" i="11"/>
  <c r="A180" i="11"/>
  <c r="A179" i="11"/>
  <c r="A178" i="11"/>
  <c r="A177" i="11"/>
  <c r="A176" i="11"/>
  <c r="A175" i="11"/>
  <c r="A174" i="11"/>
  <c r="A173" i="11"/>
  <c r="J172" i="11"/>
  <c r="A172" i="11"/>
  <c r="A171" i="11"/>
  <c r="A170" i="11"/>
  <c r="A169" i="11"/>
  <c r="A168" i="11"/>
  <c r="J167" i="11"/>
  <c r="A167" i="11"/>
  <c r="A166" i="11"/>
  <c r="A165" i="11"/>
  <c r="A164" i="11"/>
  <c r="A163" i="11"/>
  <c r="J162" i="11"/>
  <c r="A162" i="11"/>
  <c r="J161" i="11"/>
  <c r="A161" i="11"/>
  <c r="A160" i="11"/>
  <c r="A159" i="11"/>
  <c r="J158" i="11"/>
  <c r="A158" i="11"/>
  <c r="A157" i="11"/>
  <c r="J156" i="11"/>
  <c r="A156" i="11"/>
  <c r="A155" i="11"/>
  <c r="J154" i="11"/>
  <c r="A154" i="11"/>
  <c r="A153" i="11"/>
  <c r="J152" i="11"/>
  <c r="A152" i="11"/>
  <c r="J151" i="11"/>
  <c r="A151" i="11"/>
  <c r="J150" i="11"/>
  <c r="A150" i="11"/>
  <c r="J149" i="11"/>
  <c r="A149" i="11"/>
  <c r="J148" i="11"/>
  <c r="A148" i="11"/>
  <c r="A147" i="11"/>
  <c r="A146" i="11"/>
  <c r="J145" i="11"/>
  <c r="A145" i="11"/>
  <c r="J144" i="11"/>
  <c r="A144" i="11"/>
  <c r="J143" i="11"/>
  <c r="A143" i="11"/>
  <c r="A142" i="11"/>
  <c r="A141" i="11"/>
  <c r="A140" i="11"/>
  <c r="A139" i="11"/>
  <c r="A138" i="11"/>
  <c r="J137" i="11"/>
  <c r="A137" i="11"/>
  <c r="A136" i="11"/>
  <c r="A135" i="11"/>
  <c r="J134" i="11"/>
  <c r="A134" i="11"/>
  <c r="A133" i="11"/>
  <c r="A132" i="11"/>
  <c r="J131" i="11"/>
  <c r="A131" i="11"/>
  <c r="A130" i="11"/>
  <c r="J129" i="11"/>
  <c r="A129" i="11"/>
  <c r="A128" i="11"/>
  <c r="A127" i="11"/>
  <c r="A126" i="11"/>
  <c r="A125" i="11"/>
  <c r="J124" i="11"/>
  <c r="A124" i="11"/>
  <c r="A123" i="11"/>
  <c r="A122" i="11"/>
  <c r="J121" i="11"/>
  <c r="A121" i="11"/>
  <c r="A120" i="11"/>
  <c r="J119" i="11"/>
  <c r="A119" i="11"/>
  <c r="J118" i="11"/>
  <c r="A118" i="11"/>
  <c r="A117" i="11"/>
  <c r="A116" i="11"/>
  <c r="J115" i="11"/>
  <c r="A115" i="11"/>
  <c r="A114" i="11"/>
  <c r="J113" i="11"/>
  <c r="A113" i="11"/>
  <c r="A112" i="11"/>
  <c r="A111" i="11"/>
  <c r="A110" i="11"/>
  <c r="J109" i="11"/>
  <c r="A109" i="11"/>
  <c r="A108" i="11"/>
  <c r="A107" i="11"/>
  <c r="J106" i="11"/>
  <c r="A106" i="11"/>
  <c r="A105" i="11"/>
  <c r="A104" i="11"/>
  <c r="A103" i="11"/>
  <c r="A102" i="11"/>
  <c r="A101" i="11"/>
  <c r="J100" i="11"/>
  <c r="A100" i="11"/>
  <c r="A99" i="11"/>
  <c r="A98" i="11"/>
  <c r="A97" i="11"/>
  <c r="J96" i="11"/>
  <c r="A96" i="11"/>
  <c r="A95" i="11"/>
  <c r="A94" i="11"/>
  <c r="A93" i="11"/>
  <c r="A92" i="11"/>
  <c r="J91" i="11"/>
  <c r="A91"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44" i="11" l="1"/>
  <c r="B316" i="11"/>
  <c r="AX10" i="16"/>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AX12" i="16"/>
  <c r="F12" i="16" s="1"/>
  <c r="H72"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G3" i="16"/>
  <c r="J9" i="8" s="1"/>
  <c r="K89" i="8" s="1"/>
  <c r="I3" i="16"/>
  <c r="P8" i="16"/>
  <c r="AF11" i="16"/>
  <c r="F3" i="16"/>
  <c r="H3" i="16"/>
  <c r="J11" i="8" s="1"/>
  <c r="H12" i="16" l="1"/>
  <c r="AX14" i="16"/>
  <c r="AX88" i="16"/>
  <c r="AX90" i="16"/>
  <c r="F90" i="16" s="1"/>
  <c r="AX99" i="16"/>
  <c r="AX115" i="16"/>
  <c r="AX143" i="16"/>
  <c r="F143" i="16" s="1"/>
  <c r="AX159" i="16"/>
  <c r="AX166" i="16"/>
  <c r="F166" i="16" s="1"/>
  <c r="AX176" i="16"/>
  <c r="AX190" i="16"/>
  <c r="AX193" i="16"/>
  <c r="F193" i="16" s="1"/>
  <c r="AX197" i="16"/>
  <c r="AX199" i="16"/>
  <c r="H199" i="16" s="1"/>
  <c r="AX223" i="16"/>
  <c r="AX230" i="16"/>
  <c r="AX244" i="16"/>
  <c r="AX258" i="16"/>
  <c r="AX265" i="16"/>
  <c r="AX286" i="16"/>
  <c r="F286" i="16" s="1"/>
  <c r="AX301" i="16"/>
  <c r="AX306" i="16"/>
  <c r="F306" i="16" s="1"/>
  <c r="AX310" i="16"/>
  <c r="AX93" i="16"/>
  <c r="AX95" i="16"/>
  <c r="F95" i="16" s="1"/>
  <c r="AX97" i="16"/>
  <c r="AX101" i="16"/>
  <c r="AX103" i="16"/>
  <c r="H103" i="16" s="1"/>
  <c r="AX126" i="16"/>
  <c r="AX133" i="16"/>
  <c r="F133" i="16" s="1"/>
  <c r="AX152" i="16"/>
  <c r="AX157" i="16"/>
  <c r="F157" i="16" s="1"/>
  <c r="AX164" i="16"/>
  <c r="F164" i="16" s="1"/>
  <c r="AX171" i="16"/>
  <c r="AX204" i="16"/>
  <c r="AX216" i="16"/>
  <c r="AX232" i="16"/>
  <c r="AX237" i="16"/>
  <c r="AX263" i="16"/>
  <c r="AX268" i="16"/>
  <c r="AX270" i="16"/>
  <c r="F270" i="16" s="1"/>
  <c r="AX272" i="16"/>
  <c r="AX277" i="16"/>
  <c r="AX291" i="16"/>
  <c r="AX296" i="16"/>
  <c r="AX299" i="16"/>
  <c r="AX304" i="16"/>
  <c r="AX318" i="16"/>
  <c r="AX337" i="16"/>
  <c r="AX340" i="16"/>
  <c r="AX211" i="16"/>
  <c r="AX274" i="16"/>
  <c r="F274" i="16" s="1"/>
  <c r="AX110" i="16"/>
  <c r="H110" i="16" s="1"/>
  <c r="AX136" i="16"/>
  <c r="F136" i="16" s="1"/>
  <c r="AX141" i="16"/>
  <c r="F141" i="16" s="1"/>
  <c r="AX155" i="16"/>
  <c r="F155" i="16" s="1"/>
  <c r="AX162" i="16"/>
  <c r="F162" i="16" s="1"/>
  <c r="AX169" i="16"/>
  <c r="AX181" i="16"/>
  <c r="AX207" i="16"/>
  <c r="AX209" i="16"/>
  <c r="AX214" i="16"/>
  <c r="AX228" i="16"/>
  <c r="AX235" i="16"/>
  <c r="F235" i="16" s="1"/>
  <c r="AX247" i="16"/>
  <c r="AX256" i="16"/>
  <c r="AX284" i="16"/>
  <c r="F284" i="16" s="1"/>
  <c r="AX294" i="16"/>
  <c r="AX313" i="16"/>
  <c r="F313" i="16" s="1"/>
  <c r="AX325" i="16"/>
  <c r="AX330" i="16"/>
  <c r="AX105" i="16"/>
  <c r="AX112" i="16"/>
  <c r="F112" i="16" s="1"/>
  <c r="AX117" i="16"/>
  <c r="AX119" i="16"/>
  <c r="AX150" i="16"/>
  <c r="AX178" i="16"/>
  <c r="AX195" i="16"/>
  <c r="F195" i="16" s="1"/>
  <c r="AX279" i="16"/>
  <c r="F279" i="16" s="1"/>
  <c r="AX334" i="16"/>
  <c r="AX342" i="16"/>
  <c r="AX113" i="16"/>
  <c r="AX122" i="16"/>
  <c r="AX124" i="16"/>
  <c r="AX131" i="16"/>
  <c r="F131" i="16" s="1"/>
  <c r="AX146" i="16"/>
  <c r="AX188" i="16"/>
  <c r="H188" i="16" s="1"/>
  <c r="AX219" i="16"/>
  <c r="AX221" i="16"/>
  <c r="AX226" i="16"/>
  <c r="AX242" i="16"/>
  <c r="F242" i="16" s="1"/>
  <c r="AX250" i="16"/>
  <c r="AX261" i="16"/>
  <c r="AX275" i="16"/>
  <c r="AX280" i="16"/>
  <c r="AX282" i="16"/>
  <c r="AX289" i="16"/>
  <c r="F289" i="16" s="1"/>
  <c r="AX323" i="16"/>
  <c r="AX225" i="16"/>
  <c r="H225" i="16" s="1"/>
  <c r="AX332" i="16"/>
  <c r="AX86" i="16"/>
  <c r="AX106" i="16"/>
  <c r="AX120" i="16"/>
  <c r="AX129" i="16"/>
  <c r="AX139" i="16"/>
  <c r="AX144" i="16"/>
  <c r="AX149" i="16"/>
  <c r="F149" i="16" s="1"/>
  <c r="AX160" i="16"/>
  <c r="F160" i="16" s="1"/>
  <c r="AX167" i="16"/>
  <c r="AX174" i="16"/>
  <c r="F174" i="16" s="1"/>
  <c r="AX179" i="16"/>
  <c r="F179" i="16" s="1"/>
  <c r="AX184" i="16"/>
  <c r="F184" i="16" s="1"/>
  <c r="AX191" i="16"/>
  <c r="AX200" i="16"/>
  <c r="AX202" i="16"/>
  <c r="AX252" i="16"/>
  <c r="AX254" i="16"/>
  <c r="H254" i="16" s="1"/>
  <c r="AX266" i="16"/>
  <c r="AX302" i="16"/>
  <c r="AX311" i="16"/>
  <c r="F311" i="16" s="1"/>
  <c r="AX316" i="16"/>
  <c r="AX321" i="16"/>
  <c r="AX328" i="16"/>
  <c r="F328" i="16" s="1"/>
  <c r="AX335" i="16"/>
  <c r="AX91" i="16"/>
  <c r="AX108" i="16"/>
  <c r="F108" i="16" s="1"/>
  <c r="AX116" i="16"/>
  <c r="AX118" i="16"/>
  <c r="F118" i="16" s="1"/>
  <c r="AX134" i="16"/>
  <c r="AX153" i="16"/>
  <c r="AX177" i="16"/>
  <c r="AX186" i="16"/>
  <c r="AX205" i="16"/>
  <c r="F205" i="16" s="1"/>
  <c r="AX212" i="16"/>
  <c r="H212" i="16" s="1"/>
  <c r="AX217" i="16"/>
  <c r="F217" i="16" s="1"/>
  <c r="AX240" i="16"/>
  <c r="H240" i="16" s="1"/>
  <c r="AX245" i="16"/>
  <c r="AX287" i="16"/>
  <c r="F287" i="16" s="1"/>
  <c r="AX292" i="16"/>
  <c r="F292" i="16" s="1"/>
  <c r="AX297" i="16"/>
  <c r="AX307" i="16"/>
  <c r="F307" i="16" s="1"/>
  <c r="AX309" i="16"/>
  <c r="AX319" i="16"/>
  <c r="AX338" i="16"/>
  <c r="F338" i="16" s="1"/>
  <c r="AX341" i="16"/>
  <c r="AX343" i="16"/>
  <c r="AX89" i="16"/>
  <c r="F89" i="16" s="1"/>
  <c r="AX100" i="16"/>
  <c r="AX104" i="16"/>
  <c r="AX127" i="16"/>
  <c r="F127" i="16" s="1"/>
  <c r="AX137" i="16"/>
  <c r="AX151" i="16"/>
  <c r="AX172" i="16"/>
  <c r="AX194" i="16"/>
  <c r="AX196" i="16"/>
  <c r="H196" i="16" s="1"/>
  <c r="AX198" i="16"/>
  <c r="AX210" i="16"/>
  <c r="AX224" i="16"/>
  <c r="F224" i="16" s="1"/>
  <c r="AX231" i="16"/>
  <c r="AX233" i="16"/>
  <c r="AX238" i="16"/>
  <c r="H238" i="16" s="1"/>
  <c r="AX248" i="16"/>
  <c r="AX257" i="16"/>
  <c r="AX259" i="16"/>
  <c r="AX273" i="16"/>
  <c r="AX278" i="16"/>
  <c r="AX314" i="16"/>
  <c r="F314" i="16" s="1"/>
  <c r="AX326" i="16"/>
  <c r="AX331" i="16"/>
  <c r="AX333" i="16"/>
  <c r="F333" i="16" s="1"/>
  <c r="AX107" i="16"/>
  <c r="H107" i="16" s="1"/>
  <c r="AX239" i="16"/>
  <c r="AX94" i="16"/>
  <c r="F94" i="16" s="1"/>
  <c r="AX98" i="16"/>
  <c r="AX111" i="16"/>
  <c r="AX114" i="16"/>
  <c r="AX147" i="16"/>
  <c r="AX158" i="16"/>
  <c r="AX165" i="16"/>
  <c r="AX182" i="16"/>
  <c r="AX215" i="16"/>
  <c r="F215" i="16" s="1"/>
  <c r="AX222" i="16"/>
  <c r="AX236" i="16"/>
  <c r="H236" i="16" s="1"/>
  <c r="AX264" i="16"/>
  <c r="H264" i="16" s="1"/>
  <c r="AX269" i="16"/>
  <c r="AX271" i="16"/>
  <c r="AX300" i="16"/>
  <c r="AX305" i="16"/>
  <c r="AX87" i="16"/>
  <c r="AX96" i="16"/>
  <c r="AX102" i="16"/>
  <c r="AX123" i="16"/>
  <c r="AX125" i="16"/>
  <c r="F125" i="16" s="1"/>
  <c r="AX132" i="16"/>
  <c r="AX142" i="16"/>
  <c r="AX156" i="16"/>
  <c r="F156" i="16" s="1"/>
  <c r="AX161" i="16"/>
  <c r="F161" i="16" s="1"/>
  <c r="AX170" i="16"/>
  <c r="F170" i="16" s="1"/>
  <c r="AX175" i="16"/>
  <c r="AX189" i="16"/>
  <c r="AX192" i="16"/>
  <c r="AX203" i="16"/>
  <c r="AX227" i="16"/>
  <c r="AX229" i="16"/>
  <c r="F229" i="16" s="1"/>
  <c r="AX243" i="16"/>
  <c r="F243" i="16" s="1"/>
  <c r="AX262" i="16"/>
  <c r="AX276" i="16"/>
  <c r="F276" i="16" s="1"/>
  <c r="AX285" i="16"/>
  <c r="AX290" i="16"/>
  <c r="AX295" i="16"/>
  <c r="AX303" i="16"/>
  <c r="AX148" i="16"/>
  <c r="AX173" i="16"/>
  <c r="F173" i="16" s="1"/>
  <c r="AX183" i="16"/>
  <c r="AX260" i="16"/>
  <c r="AX92" i="16"/>
  <c r="AX109" i="16"/>
  <c r="AX121" i="16"/>
  <c r="F121" i="16" s="1"/>
  <c r="AX145" i="16"/>
  <c r="AX154" i="16"/>
  <c r="F154" i="16" s="1"/>
  <c r="AX163" i="16"/>
  <c r="F163" i="16" s="1"/>
  <c r="AX168" i="16"/>
  <c r="F168" i="16" s="1"/>
  <c r="AX180" i="16"/>
  <c r="AX208" i="16"/>
  <c r="F208" i="16" s="1"/>
  <c r="AX220" i="16"/>
  <c r="AX241" i="16"/>
  <c r="AX246" i="16"/>
  <c r="F246" i="16" s="1"/>
  <c r="AX251" i="16"/>
  <c r="AX255" i="16"/>
  <c r="AX267" i="16"/>
  <c r="F267" i="16" s="1"/>
  <c r="AX281" i="16"/>
  <c r="AX283" i="16"/>
  <c r="AX298" i="16"/>
  <c r="AX317" i="16"/>
  <c r="AX320" i="16"/>
  <c r="AX324" i="16"/>
  <c r="AX329" i="16"/>
  <c r="F329" i="16" s="1"/>
  <c r="AX336" i="16"/>
  <c r="F336" i="16" s="1"/>
  <c r="AX339" i="16"/>
  <c r="AX128" i="16"/>
  <c r="AX130" i="16"/>
  <c r="F130" i="16" s="1"/>
  <c r="AX135" i="16"/>
  <c r="H135" i="16" s="1"/>
  <c r="AX138" i="16"/>
  <c r="AX140" i="16"/>
  <c r="AX185" i="16"/>
  <c r="AX187" i="16"/>
  <c r="AX201" i="16"/>
  <c r="AX206" i="16"/>
  <c r="AX213" i="16"/>
  <c r="AX218" i="16"/>
  <c r="AX234" i="16"/>
  <c r="AX249" i="16"/>
  <c r="F249" i="16" s="1"/>
  <c r="AX253" i="16"/>
  <c r="F253" i="16" s="1"/>
  <c r="AX288" i="16"/>
  <c r="AX293" i="16"/>
  <c r="AX308" i="16"/>
  <c r="AX312" i="16"/>
  <c r="F312" i="16" s="1"/>
  <c r="AX315" i="16"/>
  <c r="AX322" i="16"/>
  <c r="AX327" i="16"/>
  <c r="F327" i="16" s="1"/>
  <c r="H131" i="16"/>
  <c r="F225" i="16"/>
  <c r="F107" i="16"/>
  <c r="F231" i="16"/>
  <c r="F240" i="16"/>
  <c r="F146" i="16"/>
  <c r="H157" i="16"/>
  <c r="F199" i="16"/>
  <c r="F238" i="16"/>
  <c r="F188" i="16"/>
  <c r="F110" i="16"/>
  <c r="AX71" i="16"/>
  <c r="H71" i="16" s="1"/>
  <c r="AX11" i="16"/>
  <c r="F11" i="16" s="1"/>
  <c r="AX59" i="16"/>
  <c r="AX47" i="16"/>
  <c r="AX35" i="16"/>
  <c r="AX31" i="16"/>
  <c r="F31" i="16" s="1"/>
  <c r="AX74" i="16"/>
  <c r="F74" i="16" s="1"/>
  <c r="AX36" i="16"/>
  <c r="F36" i="16" s="1"/>
  <c r="AX25" i="16"/>
  <c r="H25" i="16" s="1"/>
  <c r="AX80" i="16"/>
  <c r="F80" i="16" s="1"/>
  <c r="AX83" i="16"/>
  <c r="AX55" i="16"/>
  <c r="H55" i="16" s="1"/>
  <c r="AX84" i="16"/>
  <c r="H84" i="16" s="1"/>
  <c r="AX56" i="16"/>
  <c r="H56" i="16" s="1"/>
  <c r="AX79" i="16"/>
  <c r="AX32" i="16"/>
  <c r="F32" i="16" s="1"/>
  <c r="AX73" i="16"/>
  <c r="H73" i="16" s="1"/>
  <c r="AX26" i="16"/>
  <c r="F26" i="16" s="1"/>
  <c r="AX23" i="16"/>
  <c r="AX60" i="16"/>
  <c r="AX49" i="16"/>
  <c r="AX50" i="16"/>
  <c r="H50" i="16" s="1"/>
  <c r="AX81" i="16"/>
  <c r="H81" i="16" s="1"/>
  <c r="AX57" i="16"/>
  <c r="AX33" i="16"/>
  <c r="AX82" i="16"/>
  <c r="H82" i="16" s="1"/>
  <c r="AX58" i="16"/>
  <c r="H58" i="16" s="1"/>
  <c r="AX34" i="16"/>
  <c r="H34" i="16" s="1"/>
  <c r="AX77" i="16"/>
  <c r="H77" i="16" s="1"/>
  <c r="AX53" i="16"/>
  <c r="H53" i="16" s="1"/>
  <c r="AX29" i="16"/>
  <c r="H29" i="16" s="1"/>
  <c r="AX78" i="16"/>
  <c r="F78" i="16" s="1"/>
  <c r="AX54" i="16"/>
  <c r="AX30" i="16"/>
  <c r="F30" i="16" s="1"/>
  <c r="AX75" i="16"/>
  <c r="AX51" i="16"/>
  <c r="AX27" i="16"/>
  <c r="F27" i="16" s="1"/>
  <c r="AX76" i="16"/>
  <c r="AX52" i="16"/>
  <c r="AX28" i="16"/>
  <c r="AX72" i="16"/>
  <c r="F72" i="16" s="1"/>
  <c r="AX48" i="16"/>
  <c r="AX24" i="16"/>
  <c r="AX69" i="16"/>
  <c r="AX45" i="16"/>
  <c r="F45" i="16" s="1"/>
  <c r="AX21" i="16"/>
  <c r="H21" i="16" s="1"/>
  <c r="AX70" i="16"/>
  <c r="AX46" i="16"/>
  <c r="H46" i="16" s="1"/>
  <c r="AX22" i="16"/>
  <c r="H22" i="16" s="1"/>
  <c r="AX67" i="16"/>
  <c r="F67" i="16" s="1"/>
  <c r="AX43" i="16"/>
  <c r="F43" i="16" s="1"/>
  <c r="AX19" i="16"/>
  <c r="H19" i="16" s="1"/>
  <c r="AX68" i="16"/>
  <c r="AX44" i="16"/>
  <c r="F44" i="16" s="1"/>
  <c r="AX20" i="16"/>
  <c r="AX65" i="16"/>
  <c r="H65" i="16" s="1"/>
  <c r="AX41" i="16"/>
  <c r="H41" i="16" s="1"/>
  <c r="AX17" i="16"/>
  <c r="H17" i="16" s="1"/>
  <c r="AX66" i="16"/>
  <c r="F66" i="16" s="1"/>
  <c r="AX42" i="16"/>
  <c r="AX18" i="16"/>
  <c r="AX63" i="16"/>
  <c r="AX39" i="16"/>
  <c r="AX15" i="16"/>
  <c r="AX64" i="16"/>
  <c r="AX40" i="16"/>
  <c r="AX16" i="16"/>
  <c r="AX85" i="16"/>
  <c r="H85" i="16" s="1"/>
  <c r="AX61" i="16"/>
  <c r="F61" i="16" s="1"/>
  <c r="AX37" i="16"/>
  <c r="F37" i="16" s="1"/>
  <c r="AX13" i="16"/>
  <c r="H13" i="16" s="1"/>
  <c r="AX62" i="16"/>
  <c r="H62" i="16" s="1"/>
  <c r="AX38" i="16"/>
  <c r="H38" i="16" s="1"/>
  <c r="H8" i="16"/>
  <c r="D21" i="8"/>
  <c r="X9" i="16"/>
  <c r="AI9" i="16"/>
  <c r="AP9" i="16"/>
  <c r="J10" i="8"/>
  <c r="B39" i="8" s="1"/>
  <c r="H78" i="16"/>
  <c r="H26" i="16" l="1"/>
  <c r="H27" i="16"/>
  <c r="H31" i="16"/>
  <c r="H44" i="16"/>
  <c r="H36" i="16"/>
  <c r="H43" i="16"/>
  <c r="H32" i="16"/>
  <c r="F128" i="16"/>
  <c r="H128" i="16"/>
  <c r="F93" i="16"/>
  <c r="H93" i="16"/>
  <c r="F302" i="16"/>
  <c r="H302" i="16"/>
  <c r="F280" i="16"/>
  <c r="H280" i="16"/>
  <c r="F330" i="16"/>
  <c r="AG14" i="16" s="1"/>
  <c r="H330" i="16"/>
  <c r="F181" i="16"/>
  <c r="H181" i="16"/>
  <c r="F304" i="16"/>
  <c r="H304" i="16"/>
  <c r="F204" i="16"/>
  <c r="H204" i="16"/>
  <c r="H37" i="16"/>
  <c r="H61" i="16"/>
  <c r="F153" i="16"/>
  <c r="H153" i="16"/>
  <c r="F76" i="16"/>
  <c r="H76" i="16"/>
  <c r="F220" i="16"/>
  <c r="H220" i="16"/>
  <c r="F296" i="16"/>
  <c r="H296" i="16"/>
  <c r="F189" i="16"/>
  <c r="H189" i="16"/>
  <c r="F252" i="16"/>
  <c r="H252" i="16"/>
  <c r="F291" i="16"/>
  <c r="H291" i="16"/>
  <c r="F159" i="16"/>
  <c r="H159" i="16"/>
  <c r="F322" i="16"/>
  <c r="H322" i="16"/>
  <c r="F175" i="16"/>
  <c r="H175" i="16"/>
  <c r="F257" i="16"/>
  <c r="H257" i="16"/>
  <c r="F202" i="16"/>
  <c r="H202" i="16"/>
  <c r="F75" i="16"/>
  <c r="H75" i="16"/>
  <c r="F315" i="16"/>
  <c r="H315" i="16"/>
  <c r="F251" i="16"/>
  <c r="H251" i="16"/>
  <c r="F269" i="16"/>
  <c r="H269" i="16"/>
  <c r="F91" i="16"/>
  <c r="H91" i="16"/>
  <c r="F86" i="16"/>
  <c r="H86" i="16"/>
  <c r="F221" i="16"/>
  <c r="H221" i="16"/>
  <c r="F335" i="16"/>
  <c r="H335" i="16"/>
  <c r="F332" i="16"/>
  <c r="H332" i="16"/>
  <c r="F219" i="16"/>
  <c r="H219" i="16"/>
  <c r="F268" i="16"/>
  <c r="H268" i="16"/>
  <c r="F70" i="16"/>
  <c r="H70" i="16"/>
  <c r="H67" i="16"/>
  <c r="F138" i="16"/>
  <c r="H138" i="16"/>
  <c r="F281" i="16"/>
  <c r="H281" i="16"/>
  <c r="F142" i="16"/>
  <c r="H142" i="16"/>
  <c r="F211" i="16"/>
  <c r="H211" i="16"/>
  <c r="F101" i="16"/>
  <c r="H101" i="16"/>
  <c r="F223" i="16"/>
  <c r="H223" i="16"/>
  <c r="F343" i="16"/>
  <c r="AG22" i="16" s="1"/>
  <c r="H343" i="16"/>
  <c r="H66" i="16"/>
  <c r="F167" i="16"/>
  <c r="H167" i="16"/>
  <c r="F209" i="16"/>
  <c r="H209" i="16"/>
  <c r="F212" i="16"/>
  <c r="H45" i="16"/>
  <c r="F71" i="16"/>
  <c r="H80" i="16"/>
  <c r="F264" i="16"/>
  <c r="H74" i="16"/>
  <c r="F135" i="16"/>
  <c r="F83" i="16"/>
  <c r="H83" i="16"/>
  <c r="F92" i="16"/>
  <c r="H92" i="16"/>
  <c r="F123" i="16"/>
  <c r="H123" i="16"/>
  <c r="F182" i="16"/>
  <c r="H182" i="16"/>
  <c r="F326" i="16"/>
  <c r="H326" i="16"/>
  <c r="F198" i="16"/>
  <c r="H198" i="16"/>
  <c r="F186" i="16"/>
  <c r="H186" i="16"/>
  <c r="F282" i="16"/>
  <c r="H282" i="16"/>
  <c r="F124" i="16"/>
  <c r="H124" i="16"/>
  <c r="F105" i="16"/>
  <c r="H105" i="16"/>
  <c r="F207" i="16"/>
  <c r="H207" i="16"/>
  <c r="F318" i="16"/>
  <c r="H318" i="16"/>
  <c r="F216" i="16"/>
  <c r="H216" i="16"/>
  <c r="F227" i="16"/>
  <c r="H227" i="16"/>
  <c r="F177" i="16"/>
  <c r="H177" i="16"/>
  <c r="F122" i="16"/>
  <c r="H122" i="16"/>
  <c r="F310" i="16"/>
  <c r="H310" i="16"/>
  <c r="F190" i="16"/>
  <c r="H190" i="16"/>
  <c r="F54" i="16"/>
  <c r="H54" i="16"/>
  <c r="F49" i="16"/>
  <c r="H49" i="16"/>
  <c r="F218" i="16"/>
  <c r="H218" i="16"/>
  <c r="F241" i="16"/>
  <c r="H241" i="16"/>
  <c r="F183" i="16"/>
  <c r="H183" i="16"/>
  <c r="F203" i="16"/>
  <c r="H203" i="16"/>
  <c r="F96" i="16"/>
  <c r="H96" i="16"/>
  <c r="F158" i="16"/>
  <c r="H158" i="16"/>
  <c r="F278" i="16"/>
  <c r="H278" i="16"/>
  <c r="F194" i="16"/>
  <c r="H194" i="16"/>
  <c r="F309" i="16"/>
  <c r="H309" i="16"/>
  <c r="F266" i="16"/>
  <c r="H266" i="16"/>
  <c r="F144" i="16"/>
  <c r="H144" i="16"/>
  <c r="F275" i="16"/>
  <c r="H275" i="16"/>
  <c r="F113" i="16"/>
  <c r="H113" i="16"/>
  <c r="F325" i="16"/>
  <c r="H325" i="16"/>
  <c r="F169" i="16"/>
  <c r="H169" i="16"/>
  <c r="F299" i="16"/>
  <c r="H299" i="16"/>
  <c r="F171" i="16"/>
  <c r="H171" i="16"/>
  <c r="F176" i="16"/>
  <c r="AG12" i="16" s="1"/>
  <c r="H176" i="16"/>
  <c r="F260" i="16"/>
  <c r="H260" i="16"/>
  <c r="F69" i="16"/>
  <c r="H69" i="16"/>
  <c r="F60" i="16"/>
  <c r="H60" i="16"/>
  <c r="F213" i="16"/>
  <c r="H213" i="16"/>
  <c r="F192" i="16"/>
  <c r="H192" i="16"/>
  <c r="F147" i="16"/>
  <c r="H147" i="16"/>
  <c r="F273" i="16"/>
  <c r="H273" i="16"/>
  <c r="F172" i="16"/>
  <c r="H172" i="16"/>
  <c r="F134" i="16"/>
  <c r="H134" i="16"/>
  <c r="F139" i="16"/>
  <c r="H139" i="16"/>
  <c r="F261" i="16"/>
  <c r="H261" i="16"/>
  <c r="F342" i="16"/>
  <c r="H342" i="16"/>
  <c r="F301" i="16"/>
  <c r="H301" i="16"/>
  <c r="F102" i="16"/>
  <c r="H102" i="16"/>
  <c r="F23" i="16"/>
  <c r="H23" i="16"/>
  <c r="F206" i="16"/>
  <c r="H206" i="16"/>
  <c r="F324" i="16"/>
  <c r="H324" i="16"/>
  <c r="F148" i="16"/>
  <c r="H148" i="16"/>
  <c r="F305" i="16"/>
  <c r="H305" i="16"/>
  <c r="F114" i="16"/>
  <c r="H114" i="16"/>
  <c r="F259" i="16"/>
  <c r="H259" i="16"/>
  <c r="F151" i="16"/>
  <c r="H151" i="16"/>
  <c r="F297" i="16"/>
  <c r="H297" i="16"/>
  <c r="F129" i="16"/>
  <c r="H129" i="16"/>
  <c r="F250" i="16"/>
  <c r="H250" i="16"/>
  <c r="F334" i="16"/>
  <c r="H334" i="16"/>
  <c r="F294" i="16"/>
  <c r="H294" i="16"/>
  <c r="F201" i="16"/>
  <c r="H201" i="16"/>
  <c r="F320" i="16"/>
  <c r="H320" i="16"/>
  <c r="F180" i="16"/>
  <c r="H180" i="16"/>
  <c r="F111" i="16"/>
  <c r="H111" i="16"/>
  <c r="F116" i="16"/>
  <c r="H116" i="16"/>
  <c r="F120" i="16"/>
  <c r="H120" i="16"/>
  <c r="F277" i="16"/>
  <c r="H277" i="16"/>
  <c r="F152" i="16"/>
  <c r="H152" i="16"/>
  <c r="F265" i="16"/>
  <c r="H265" i="16"/>
  <c r="F303" i="16"/>
  <c r="H303" i="16"/>
  <c r="F300" i="16"/>
  <c r="H300" i="16"/>
  <c r="F137" i="16"/>
  <c r="H137" i="16"/>
  <c r="H11" i="16"/>
  <c r="F64" i="16"/>
  <c r="H64" i="16"/>
  <c r="F68" i="16"/>
  <c r="H68" i="16"/>
  <c r="F35" i="16"/>
  <c r="H35" i="16"/>
  <c r="F187" i="16"/>
  <c r="H187" i="16"/>
  <c r="F295" i="16"/>
  <c r="H295" i="16"/>
  <c r="F271" i="16"/>
  <c r="H271" i="16"/>
  <c r="F98" i="16"/>
  <c r="H98" i="16"/>
  <c r="F248" i="16"/>
  <c r="H248" i="16"/>
  <c r="F200" i="16"/>
  <c r="H200" i="16"/>
  <c r="F106" i="16"/>
  <c r="H106" i="16"/>
  <c r="F226" i="16"/>
  <c r="H226" i="16"/>
  <c r="F256" i="16"/>
  <c r="H256" i="16"/>
  <c r="F272" i="16"/>
  <c r="H272" i="16"/>
  <c r="F258" i="16"/>
  <c r="H258" i="16"/>
  <c r="F115" i="16"/>
  <c r="H115" i="16"/>
  <c r="F63" i="16"/>
  <c r="H63" i="16"/>
  <c r="F339" i="16"/>
  <c r="H339" i="16"/>
  <c r="F165" i="16"/>
  <c r="H165" i="16"/>
  <c r="F16" i="16"/>
  <c r="H16" i="16"/>
  <c r="F24" i="16"/>
  <c r="H24" i="16"/>
  <c r="F40" i="16"/>
  <c r="H40" i="16"/>
  <c r="F48" i="16"/>
  <c r="H48" i="16"/>
  <c r="F15" i="16"/>
  <c r="H15" i="16"/>
  <c r="F47" i="16"/>
  <c r="H47" i="16"/>
  <c r="F185" i="16"/>
  <c r="H185" i="16"/>
  <c r="F298" i="16"/>
  <c r="H298" i="16"/>
  <c r="F290" i="16"/>
  <c r="H290" i="16"/>
  <c r="F104" i="16"/>
  <c r="H104" i="16"/>
  <c r="F245" i="16"/>
  <c r="H245" i="16"/>
  <c r="F191" i="16"/>
  <c r="H191" i="16"/>
  <c r="F178" i="16"/>
  <c r="H178" i="16"/>
  <c r="F247" i="16"/>
  <c r="H247" i="16"/>
  <c r="F126" i="16"/>
  <c r="H126" i="16"/>
  <c r="F244" i="16"/>
  <c r="H244" i="16"/>
  <c r="F99" i="16"/>
  <c r="H99" i="16"/>
  <c r="F234" i="16"/>
  <c r="H234" i="16"/>
  <c r="F319" i="16"/>
  <c r="H319" i="16"/>
  <c r="H30" i="16"/>
  <c r="F39" i="16"/>
  <c r="H39" i="16"/>
  <c r="F79" i="16"/>
  <c r="H79" i="16"/>
  <c r="F59" i="16"/>
  <c r="H59" i="16"/>
  <c r="F308" i="16"/>
  <c r="H308" i="16"/>
  <c r="F140" i="16"/>
  <c r="H140" i="16"/>
  <c r="F283" i="16"/>
  <c r="H283" i="16"/>
  <c r="F285" i="16"/>
  <c r="H285" i="16"/>
  <c r="F239" i="16"/>
  <c r="H239" i="16"/>
  <c r="F233" i="16"/>
  <c r="H233" i="16"/>
  <c r="F100" i="16"/>
  <c r="H100" i="16"/>
  <c r="F150" i="16"/>
  <c r="H150" i="16"/>
  <c r="F230" i="16"/>
  <c r="H230" i="16"/>
  <c r="F119" i="16"/>
  <c r="H119" i="16"/>
  <c r="F228" i="16"/>
  <c r="H228" i="16"/>
  <c r="F263" i="16"/>
  <c r="H263" i="16"/>
  <c r="F88" i="16"/>
  <c r="H88" i="16"/>
  <c r="F18" i="16"/>
  <c r="H18" i="16"/>
  <c r="F33" i="16"/>
  <c r="H33" i="16"/>
  <c r="F288" i="16"/>
  <c r="H288" i="16"/>
  <c r="F262" i="16"/>
  <c r="H262" i="16"/>
  <c r="F132" i="16"/>
  <c r="H132" i="16"/>
  <c r="F222" i="16"/>
  <c r="H222" i="16"/>
  <c r="F321" i="16"/>
  <c r="H321" i="16"/>
  <c r="F323" i="16"/>
  <c r="H323" i="16"/>
  <c r="F117" i="16"/>
  <c r="H117" i="16"/>
  <c r="F214" i="16"/>
  <c r="H214" i="16"/>
  <c r="F340" i="16"/>
  <c r="H340" i="16"/>
  <c r="F237" i="16"/>
  <c r="H237" i="16"/>
  <c r="F97" i="16"/>
  <c r="H97" i="16"/>
  <c r="F14" i="16"/>
  <c r="H14" i="16"/>
  <c r="F293" i="16"/>
  <c r="H293" i="16"/>
  <c r="F145" i="16"/>
  <c r="H145" i="16"/>
  <c r="F42" i="16"/>
  <c r="H42" i="16"/>
  <c r="F51" i="16"/>
  <c r="H51" i="16"/>
  <c r="F57" i="16"/>
  <c r="H57" i="16"/>
  <c r="F236" i="16"/>
  <c r="F255" i="16"/>
  <c r="H255" i="16"/>
  <c r="F109" i="16"/>
  <c r="H109" i="16"/>
  <c r="F331" i="16"/>
  <c r="H331" i="16"/>
  <c r="F210" i="16"/>
  <c r="H210" i="16"/>
  <c r="F341" i="16"/>
  <c r="H341" i="16"/>
  <c r="F316" i="16"/>
  <c r="H316" i="16"/>
  <c r="F337" i="16"/>
  <c r="H337" i="16"/>
  <c r="F232" i="16"/>
  <c r="H232" i="16"/>
  <c r="F197" i="16"/>
  <c r="H197" i="16"/>
  <c r="T39" i="8"/>
  <c r="D50" i="8"/>
  <c r="H168" i="16"/>
  <c r="H317" i="16"/>
  <c r="F317" i="16"/>
  <c r="H284" i="16"/>
  <c r="H143" i="16"/>
  <c r="H112" i="16"/>
  <c r="H208" i="16"/>
  <c r="H327" i="16"/>
  <c r="F196" i="16"/>
  <c r="H89" i="16"/>
  <c r="H217" i="16"/>
  <c r="F254" i="16"/>
  <c r="H287" i="16"/>
  <c r="H338" i="16"/>
  <c r="H276" i="16"/>
  <c r="F103" i="16"/>
  <c r="H173" i="16"/>
  <c r="H164" i="16"/>
  <c r="F87" i="16"/>
  <c r="H87" i="16"/>
  <c r="H121" i="16"/>
  <c r="F25" i="16"/>
  <c r="AG17" i="16" s="1"/>
  <c r="F55" i="16"/>
  <c r="F53" i="16"/>
  <c r="F56" i="16"/>
  <c r="F82" i="16"/>
  <c r="F50" i="16"/>
  <c r="AG23" i="16"/>
  <c r="F13" i="16"/>
  <c r="F34" i="16"/>
  <c r="F21" i="16"/>
  <c r="F77" i="16"/>
  <c r="F73" i="16"/>
  <c r="F58" i="16"/>
  <c r="F84" i="16"/>
  <c r="F38" i="16"/>
  <c r="F46" i="16"/>
  <c r="F81" i="16"/>
  <c r="F17" i="16"/>
  <c r="F41" i="16"/>
  <c r="F85" i="16"/>
  <c r="F19" i="16"/>
  <c r="H52" i="16"/>
  <c r="I52" i="16" s="1"/>
  <c r="F52" i="16"/>
  <c r="F62" i="16"/>
  <c r="F22" i="16"/>
  <c r="F29" i="16"/>
  <c r="H20" i="16"/>
  <c r="I20" i="16" s="1"/>
  <c r="F20" i="16"/>
  <c r="F65" i="16"/>
  <c r="H28" i="16"/>
  <c r="I28" i="16" s="1"/>
  <c r="F28" i="16"/>
  <c r="I19" i="16"/>
  <c r="I21" i="16"/>
  <c r="I34" i="16"/>
  <c r="I53" i="16"/>
  <c r="I38" i="16"/>
  <c r="I81" i="16"/>
  <c r="I29" i="16"/>
  <c r="I46" i="16"/>
  <c r="I41" i="16"/>
  <c r="I56" i="16"/>
  <c r="I72" i="16"/>
  <c r="I78" i="16"/>
  <c r="AG18" i="16"/>
  <c r="AG16" i="16"/>
  <c r="AG19" i="16" l="1"/>
  <c r="AG24" i="16"/>
  <c r="AG20" i="16"/>
  <c r="I31" i="16"/>
  <c r="AG21" i="16"/>
  <c r="I44" i="16"/>
  <c r="AG13" i="16"/>
  <c r="I26" i="16"/>
  <c r="I37" i="16"/>
  <c r="I36" i="16"/>
  <c r="I70" i="16"/>
  <c r="I84" i="16"/>
  <c r="I76" i="16"/>
  <c r="I66" i="16"/>
  <c r="I32" i="16"/>
  <c r="I67" i="16"/>
  <c r="I138" i="16"/>
  <c r="I181" i="16"/>
  <c r="I159" i="16"/>
  <c r="I302" i="16"/>
  <c r="I322" i="16"/>
  <c r="I211" i="16"/>
  <c r="I330" i="16"/>
  <c r="I269" i="16"/>
  <c r="I220" i="16"/>
  <c r="I209" i="16"/>
  <c r="I281" i="16"/>
  <c r="I142" i="16"/>
  <c r="I93" i="16"/>
  <c r="I175" i="16"/>
  <c r="I280" i="16"/>
  <c r="I268" i="16"/>
  <c r="I91" i="16"/>
  <c r="I296" i="16"/>
  <c r="I251" i="16"/>
  <c r="I86" i="16"/>
  <c r="I219" i="16"/>
  <c r="I221" i="16"/>
  <c r="I223" i="16"/>
  <c r="I257" i="16"/>
  <c r="I252" i="16"/>
  <c r="I240" i="16"/>
  <c r="I204" i="16"/>
  <c r="I167" i="16"/>
  <c r="I225" i="16"/>
  <c r="I189" i="16"/>
  <c r="I315" i="16"/>
  <c r="I335" i="16"/>
  <c r="I188" i="16"/>
  <c r="I304" i="16"/>
  <c r="I291" i="16"/>
  <c r="I332" i="16"/>
  <c r="I202" i="16"/>
  <c r="I343" i="16"/>
  <c r="I199" i="16"/>
  <c r="I101" i="16"/>
  <c r="I128" i="16"/>
  <c r="I153" i="16"/>
  <c r="I43" i="16"/>
  <c r="I27" i="16"/>
  <c r="I61" i="16"/>
  <c r="I75" i="16"/>
  <c r="I24" i="16"/>
  <c r="I110" i="16"/>
  <c r="I147" i="16"/>
  <c r="I158" i="16"/>
  <c r="I227" i="16"/>
  <c r="I192" i="16"/>
  <c r="I213" i="16"/>
  <c r="I214" i="16"/>
  <c r="I303" i="16"/>
  <c r="AG26" i="16"/>
  <c r="AG25" i="16"/>
  <c r="I18" i="16"/>
  <c r="AG15" i="16"/>
  <c r="I100" i="16"/>
  <c r="I13" i="16"/>
  <c r="I134" i="16"/>
  <c r="I22" i="16"/>
  <c r="I30" i="16"/>
  <c r="I77" i="16"/>
  <c r="I318" i="16"/>
  <c r="I178" i="16"/>
  <c r="I65" i="16"/>
  <c r="I69" i="16"/>
  <c r="I62" i="16"/>
  <c r="I64" i="16"/>
  <c r="I25" i="16"/>
  <c r="I58" i="16"/>
  <c r="I80" i="16"/>
  <c r="I33" i="16"/>
  <c r="I11" i="16"/>
  <c r="I23" i="16"/>
  <c r="I16" i="16"/>
  <c r="I12" i="16"/>
  <c r="I17" i="16"/>
  <c r="I54" i="16"/>
  <c r="I68" i="16"/>
  <c r="I15" i="16"/>
  <c r="I74" i="16"/>
  <c r="I48" i="16"/>
  <c r="I59" i="16"/>
  <c r="I14" i="16"/>
  <c r="I35" i="16"/>
  <c r="I51" i="16"/>
  <c r="I60" i="16"/>
  <c r="I301" i="16"/>
  <c r="I272" i="16"/>
  <c r="I113" i="16"/>
  <c r="I297" i="16"/>
  <c r="I183" i="16"/>
  <c r="I206" i="16"/>
  <c r="I234" i="16"/>
  <c r="I288" i="16"/>
  <c r="I340" i="16"/>
  <c r="I320" i="16"/>
  <c r="I260" i="16"/>
  <c r="I79" i="16"/>
  <c r="I102" i="16"/>
  <c r="I126" i="16"/>
  <c r="I137" i="16"/>
  <c r="I244" i="16"/>
  <c r="I294" i="16"/>
  <c r="I165" i="16"/>
  <c r="I150" i="16"/>
  <c r="I334" i="16"/>
  <c r="I226" i="16"/>
  <c r="I210" i="16"/>
  <c r="I326" i="16"/>
  <c r="I47" i="16"/>
  <c r="I83" i="16"/>
  <c r="I71" i="16"/>
  <c r="I40" i="16"/>
  <c r="I73" i="16"/>
  <c r="I106" i="16"/>
  <c r="I245" i="16"/>
  <c r="I290" i="16"/>
  <c r="I180" i="16"/>
  <c r="I321" i="16"/>
  <c r="I324" i="16"/>
  <c r="I238" i="16"/>
  <c r="I247" i="16"/>
  <c r="I305" i="16"/>
  <c r="I262" i="16"/>
  <c r="I230" i="16"/>
  <c r="I337" i="16"/>
  <c r="I148" i="16"/>
  <c r="I232" i="16"/>
  <c r="I99" i="16"/>
  <c r="I293" i="16"/>
  <c r="I172" i="16"/>
  <c r="I182" i="16"/>
  <c r="I115" i="16"/>
  <c r="I207" i="16"/>
  <c r="I92" i="16"/>
  <c r="I266" i="16"/>
  <c r="I308" i="16"/>
  <c r="I107" i="16"/>
  <c r="I194" i="16"/>
  <c r="I316" i="16"/>
  <c r="I339" i="16"/>
  <c r="I248" i="16"/>
  <c r="I275" i="16"/>
  <c r="I151" i="16"/>
  <c r="I241" i="16"/>
  <c r="I145" i="16"/>
  <c r="I323" i="16"/>
  <c r="I187" i="16"/>
  <c r="I197" i="16"/>
  <c r="I88" i="16"/>
  <c r="I117" i="16"/>
  <c r="I200" i="16"/>
  <c r="I185" i="16"/>
  <c r="I96" i="16"/>
  <c r="I265" i="16"/>
  <c r="I49" i="16"/>
  <c r="I45" i="16"/>
  <c r="I135" i="16"/>
  <c r="I325" i="16"/>
  <c r="I285" i="16"/>
  <c r="I271" i="16"/>
  <c r="I239" i="16"/>
  <c r="I177" i="16"/>
  <c r="I255" i="16"/>
  <c r="I114" i="16"/>
  <c r="I258" i="16"/>
  <c r="I228" i="16"/>
  <c r="I218" i="16"/>
  <c r="I97" i="16"/>
  <c r="I122" i="16"/>
  <c r="I111" i="16"/>
  <c r="I222" i="16"/>
  <c r="I139" i="16"/>
  <c r="I190" i="16"/>
  <c r="I342" i="16"/>
  <c r="I259" i="16"/>
  <c r="I186" i="16"/>
  <c r="I42" i="16"/>
  <c r="I116" i="16"/>
  <c r="I123" i="16"/>
  <c r="I63" i="16"/>
  <c r="I39" i="16"/>
  <c r="I57" i="16"/>
  <c r="I341" i="16"/>
  <c r="I152" i="16"/>
  <c r="I140" i="16"/>
  <c r="I98" i="16"/>
  <c r="I233" i="16"/>
  <c r="I263" i="16"/>
  <c r="I104" i="16"/>
  <c r="I278" i="16"/>
  <c r="I120" i="16"/>
  <c r="I250" i="16"/>
  <c r="I282" i="16"/>
  <c r="I132" i="16"/>
  <c r="I300" i="16"/>
  <c r="I203" i="16"/>
  <c r="I309" i="16"/>
  <c r="I191" i="16"/>
  <c r="I236" i="16"/>
  <c r="I261" i="16"/>
  <c r="I124" i="16"/>
  <c r="I198" i="16"/>
  <c r="I237" i="16"/>
  <c r="I109" i="16"/>
  <c r="I295" i="16"/>
  <c r="I176" i="16"/>
  <c r="I144" i="16"/>
  <c r="I171" i="16"/>
  <c r="I264" i="16"/>
  <c r="I283" i="16"/>
  <c r="I169" i="16"/>
  <c r="I277" i="16"/>
  <c r="I273" i="16"/>
  <c r="I85" i="16"/>
  <c r="I105" i="16"/>
  <c r="I129" i="16"/>
  <c r="I299" i="16"/>
  <c r="I216" i="16"/>
  <c r="I310" i="16"/>
  <c r="I119" i="16"/>
  <c r="I331" i="16"/>
  <c r="I201" i="16"/>
  <c r="I256" i="16"/>
  <c r="I319" i="16"/>
  <c r="I298"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I82" i="16"/>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Q37" i="8" l="1"/>
  <c r="B86" i="8" s="1"/>
  <c r="U86" i="8" s="1"/>
  <c r="AE11" i="16"/>
  <c r="AH11" i="16" s="1"/>
  <c r="L86" i="16"/>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L13" i="16"/>
  <c r="X13" i="16" s="1"/>
  <c r="K88" i="16" l="1"/>
  <c r="L87" i="16"/>
  <c r="X86" i="16"/>
  <c r="Y86" i="16" s="1"/>
  <c r="AA86" i="16"/>
  <c r="AB86" i="16" s="1"/>
  <c r="AC86" i="16" s="1"/>
  <c r="M86" i="16"/>
  <c r="N86" i="16" s="1"/>
  <c r="AI86" i="16"/>
  <c r="S86" i="16"/>
  <c r="T86" i="16"/>
  <c r="U86" i="16" s="1"/>
  <c r="V86" i="16" s="1"/>
  <c r="AP86" i="16"/>
  <c r="S11" i="16"/>
  <c r="AP11" i="16"/>
  <c r="X11" i="16"/>
  <c r="AI11" i="16"/>
  <c r="E66" i="8"/>
  <c r="Y66" i="8" s="1"/>
  <c r="T11" i="16"/>
  <c r="M11" i="16"/>
  <c r="AI12" i="16"/>
  <c r="AA12" i="16"/>
  <c r="S12" i="16"/>
  <c r="T12" i="16"/>
  <c r="M12" i="16"/>
  <c r="N12" i="16" s="1"/>
  <c r="X12" i="16"/>
  <c r="L14" i="16"/>
  <c r="AP13" i="16"/>
  <c r="M13" i="16"/>
  <c r="N13" i="16" s="1"/>
  <c r="T13" i="16"/>
  <c r="AI13" i="16"/>
  <c r="S13" i="16"/>
  <c r="AA13" i="16"/>
  <c r="AJ12" i="16" l="1"/>
  <c r="AJ86" i="16"/>
  <c r="Y11" i="16"/>
  <c r="Y13" i="16"/>
  <c r="Y12" i="16"/>
  <c r="AQ86" i="16"/>
  <c r="AA87" i="16"/>
  <c r="AB87" i="16" s="1"/>
  <c r="AC87" i="16" s="1"/>
  <c r="S87" i="16"/>
  <c r="T87" i="16"/>
  <c r="U87" i="16" s="1"/>
  <c r="V87" i="16" s="1"/>
  <c r="AP87" i="16"/>
  <c r="X87" i="16"/>
  <c r="Y87" i="16" s="1"/>
  <c r="M87" i="16"/>
  <c r="N87" i="16" s="1"/>
  <c r="AI87" i="16"/>
  <c r="AJ87" i="16" s="1"/>
  <c r="AK87" i="16" s="1"/>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AQ87" i="16" l="1"/>
  <c r="L89" i="16"/>
  <c r="K90" i="16"/>
  <c r="T88" i="16"/>
  <c r="M88" i="16"/>
  <c r="N88" i="16" s="1"/>
  <c r="AA88" i="16"/>
  <c r="AI88" i="16"/>
  <c r="S88" i="16"/>
  <c r="AP88" i="16"/>
  <c r="X88" i="16"/>
  <c r="Y14" i="16"/>
  <c r="AQ14" i="16"/>
  <c r="U14" i="16"/>
  <c r="AB14" i="16"/>
  <c r="AJ14" i="16"/>
  <c r="AI15" i="16"/>
  <c r="S15" i="16"/>
  <c r="AA15" i="16"/>
  <c r="AP15" i="16"/>
  <c r="X15" i="16"/>
  <c r="M15" i="16"/>
  <c r="N15" i="16" s="1"/>
  <c r="T15" i="16"/>
  <c r="L16" i="16"/>
  <c r="Y88" i="16" l="1"/>
  <c r="AJ88" i="16"/>
  <c r="AB88" i="16"/>
  <c r="U88" i="16"/>
  <c r="AQ88" i="16"/>
  <c r="L90" i="16"/>
  <c r="K91" i="16"/>
  <c r="S89" i="16"/>
  <c r="AP89" i="16"/>
  <c r="M89" i="16"/>
  <c r="N89" i="16" s="1"/>
  <c r="X89" i="16"/>
  <c r="AA89" i="16"/>
  <c r="AI89" i="16"/>
  <c r="T89" i="16"/>
  <c r="Y15" i="16"/>
  <c r="AQ15" i="16"/>
  <c r="AB15" i="16"/>
  <c r="U15" i="16"/>
  <c r="AJ15" i="16"/>
  <c r="L17" i="16"/>
  <c r="AP16" i="16"/>
  <c r="X16" i="16"/>
  <c r="M16" i="16"/>
  <c r="N16" i="16" s="1"/>
  <c r="T16" i="16"/>
  <c r="AI16" i="16"/>
  <c r="S16" i="16"/>
  <c r="AA16" i="16"/>
  <c r="AQ89" i="16" l="1"/>
  <c r="AJ89" i="16"/>
  <c r="U89" i="16"/>
  <c r="AB89" i="16"/>
  <c r="Y89" i="16"/>
  <c r="L91" i="16"/>
  <c r="K92" i="16"/>
  <c r="AI90" i="16"/>
  <c r="AJ90" i="16" s="1"/>
  <c r="AK90" i="16" s="1"/>
  <c r="X90" i="16"/>
  <c r="Y90" i="16" s="1"/>
  <c r="AP90" i="16"/>
  <c r="S90" i="16"/>
  <c r="T90" i="16"/>
  <c r="U90" i="16" s="1"/>
  <c r="V90" i="16" s="1"/>
  <c r="AA90" i="16"/>
  <c r="AB90" i="16" s="1"/>
  <c r="AC90" i="16" s="1"/>
  <c r="M90" i="16"/>
  <c r="N90" i="16" s="1"/>
  <c r="Y16" i="16"/>
  <c r="AQ16" i="16"/>
  <c r="AB16" i="16"/>
  <c r="U16" i="16"/>
  <c r="AJ16" i="16"/>
  <c r="L18" i="16"/>
  <c r="AI17" i="16"/>
  <c r="S17" i="16"/>
  <c r="AA17" i="16"/>
  <c r="AP17" i="16"/>
  <c r="X17" i="16"/>
  <c r="M17" i="16"/>
  <c r="N17" i="16" s="1"/>
  <c r="T17" i="16"/>
  <c r="AQ90" i="16" l="1"/>
  <c r="L92" i="16"/>
  <c r="K93" i="16"/>
  <c r="X91" i="16"/>
  <c r="Y91" i="16" s="1"/>
  <c r="AA91" i="16"/>
  <c r="AB91" i="16" s="1"/>
  <c r="AC91" i="16" s="1"/>
  <c r="M91" i="16"/>
  <c r="N91" i="16" s="1"/>
  <c r="AI91" i="16"/>
  <c r="AJ91" i="16" s="1"/>
  <c r="AK91" i="16" s="1"/>
  <c r="S91" i="16"/>
  <c r="AP91" i="16"/>
  <c r="T91" i="16"/>
  <c r="U91" i="16" s="1"/>
  <c r="V91" i="16" s="1"/>
  <c r="Y17" i="16"/>
  <c r="AQ17" i="16"/>
  <c r="U17" i="16"/>
  <c r="AB17" i="16"/>
  <c r="AJ17" i="16"/>
  <c r="L19" i="16"/>
  <c r="AP18" i="16"/>
  <c r="X18" i="16"/>
  <c r="M18" i="16"/>
  <c r="N18" i="16" s="1"/>
  <c r="T18" i="16"/>
  <c r="AI18" i="16"/>
  <c r="S18" i="16"/>
  <c r="AA18" i="16"/>
  <c r="AQ91" i="16" l="1"/>
  <c r="L93" i="16"/>
  <c r="K94" i="16"/>
  <c r="S92" i="16"/>
  <c r="AP92" i="16"/>
  <c r="X92" i="16"/>
  <c r="Y92" i="16" s="1"/>
  <c r="AA92" i="16"/>
  <c r="AB92" i="16" s="1"/>
  <c r="AC92" i="16" s="1"/>
  <c r="M92" i="16"/>
  <c r="N92" i="16" s="1"/>
  <c r="AI92" i="16"/>
  <c r="AJ92" i="16" s="1"/>
  <c r="AK92" i="16" s="1"/>
  <c r="T92" i="16"/>
  <c r="U92" i="16" s="1"/>
  <c r="V92" i="16" s="1"/>
  <c r="Y18" i="16"/>
  <c r="U18" i="16"/>
  <c r="AB18" i="16"/>
  <c r="AJ18" i="16"/>
  <c r="AQ18" i="16"/>
  <c r="AI19" i="16"/>
  <c r="AP19" i="16"/>
  <c r="X19" i="16"/>
  <c r="M19" i="16"/>
  <c r="N19" i="16" s="1"/>
  <c r="T19" i="16"/>
  <c r="S19" i="16"/>
  <c r="AA19" i="16"/>
  <c r="L20" i="16"/>
  <c r="Y19" i="16" l="1"/>
  <c r="AQ92" i="16"/>
  <c r="L94" i="16"/>
  <c r="K95" i="16"/>
  <c r="T93" i="16"/>
  <c r="M93" i="16"/>
  <c r="N93" i="16" s="1"/>
  <c r="AI93" i="16"/>
  <c r="AJ93" i="16" s="1"/>
  <c r="AK93" i="16" s="1"/>
  <c r="S93" i="16"/>
  <c r="AP93" i="16"/>
  <c r="AQ93" i="16" s="1"/>
  <c r="X93" i="16"/>
  <c r="AA93" i="16"/>
  <c r="AQ19" i="16"/>
  <c r="AB19" i="16"/>
  <c r="U19" i="16"/>
  <c r="AJ19" i="16"/>
  <c r="AI20" i="16"/>
  <c r="S20" i="16"/>
  <c r="AA20" i="16"/>
  <c r="AP20" i="16"/>
  <c r="X20" i="16"/>
  <c r="M20" i="16"/>
  <c r="N20" i="16" s="1"/>
  <c r="T20" i="16"/>
  <c r="L21" i="16"/>
  <c r="Y20" i="16" l="1"/>
  <c r="Y93" i="16"/>
  <c r="AB93" i="16"/>
  <c r="U93" i="16"/>
  <c r="K96" i="16"/>
  <c r="L95" i="16"/>
  <c r="AA94" i="16"/>
  <c r="S94" i="16"/>
  <c r="T94" i="16"/>
  <c r="U94" i="16" s="1"/>
  <c r="V94" i="16" s="1"/>
  <c r="X94" i="16"/>
  <c r="M94" i="16"/>
  <c r="N94" i="16" s="1"/>
  <c r="AP94" i="16"/>
  <c r="AI94" i="16"/>
  <c r="U20" i="16"/>
  <c r="AB20" i="16"/>
  <c r="AQ20" i="16"/>
  <c r="AJ20" i="16"/>
  <c r="AP21" i="16"/>
  <c r="X21" i="16"/>
  <c r="M21" i="16"/>
  <c r="N21" i="16" s="1"/>
  <c r="T21" i="16"/>
  <c r="AI21" i="16"/>
  <c r="S21" i="16"/>
  <c r="AA21" i="16"/>
  <c r="L22" i="16"/>
  <c r="AB94" i="16" l="1"/>
  <c r="Y94" i="16"/>
  <c r="Y21" i="16"/>
  <c r="AJ94" i="16"/>
  <c r="AQ94" i="16"/>
  <c r="M95" i="16"/>
  <c r="N95" i="16" s="1"/>
  <c r="AI95" i="16"/>
  <c r="AJ95" i="16" s="1"/>
  <c r="AK95" i="16" s="1"/>
  <c r="S95" i="16"/>
  <c r="T95" i="16"/>
  <c r="U95" i="16" s="1"/>
  <c r="V95" i="16" s="1"/>
  <c r="AP95" i="16"/>
  <c r="AA95" i="16"/>
  <c r="X95" i="16"/>
  <c r="L96" i="16"/>
  <c r="K97" i="16"/>
  <c r="AB21" i="16"/>
  <c r="U21" i="16"/>
  <c r="AJ21" i="16"/>
  <c r="AQ21" i="16"/>
  <c r="AP22" i="16"/>
  <c r="X22" i="16"/>
  <c r="M22" i="16"/>
  <c r="N22" i="16" s="1"/>
  <c r="T22" i="16"/>
  <c r="AI22" i="16"/>
  <c r="S22" i="16"/>
  <c r="AA22" i="16"/>
  <c r="L23" i="16"/>
  <c r="Y95" i="16" l="1"/>
  <c r="Y22" i="16"/>
  <c r="AB95" i="16"/>
  <c r="AQ95" i="16"/>
  <c r="K98" i="16"/>
  <c r="L97" i="16"/>
  <c r="AP96" i="16"/>
  <c r="AI96" i="16"/>
  <c r="AJ96" i="16" s="1"/>
  <c r="AK96" i="16" s="1"/>
  <c r="X96" i="16"/>
  <c r="AA96" i="16"/>
  <c r="M96" i="16"/>
  <c r="N96" i="16" s="1"/>
  <c r="S96" i="16"/>
  <c r="T96" i="16"/>
  <c r="AB22" i="16"/>
  <c r="U22" i="16"/>
  <c r="AQ22" i="16"/>
  <c r="AJ22" i="16"/>
  <c r="AI23" i="16"/>
  <c r="S23" i="16"/>
  <c r="AA23" i="16"/>
  <c r="AP23" i="16"/>
  <c r="X23" i="16"/>
  <c r="M23" i="16"/>
  <c r="N23" i="16" s="1"/>
  <c r="T23" i="16"/>
  <c r="L24" i="16"/>
  <c r="AQ96" i="16" l="1"/>
  <c r="AB96" i="16"/>
  <c r="Y96" i="16"/>
  <c r="U96" i="16"/>
  <c r="X97" i="16"/>
  <c r="T97" i="16"/>
  <c r="AP97" i="16"/>
  <c r="AQ97" i="16" s="1"/>
  <c r="AR97" i="16" s="1"/>
  <c r="AA97" i="16"/>
  <c r="S97" i="16"/>
  <c r="AI97" i="16"/>
  <c r="AJ97" i="16" s="1"/>
  <c r="AK97" i="16" s="1"/>
  <c r="M97" i="16"/>
  <c r="N97" i="16" s="1"/>
  <c r="L98" i="16"/>
  <c r="K99" i="16"/>
  <c r="Y23" i="16"/>
  <c r="U23" i="16"/>
  <c r="AB23" i="16"/>
  <c r="AJ23" i="16"/>
  <c r="AQ23" i="16"/>
  <c r="AI24" i="16"/>
  <c r="S24" i="16"/>
  <c r="AA24" i="16"/>
  <c r="AP24" i="16"/>
  <c r="X24" i="16"/>
  <c r="M24" i="16"/>
  <c r="N24" i="16" s="1"/>
  <c r="T24" i="16"/>
  <c r="L25" i="16"/>
  <c r="Y97" i="16" l="1"/>
  <c r="AB97" i="16"/>
  <c r="U97" i="16"/>
  <c r="L99" i="16"/>
  <c r="K100" i="16"/>
  <c r="AA98" i="16"/>
  <c r="X98" i="16"/>
  <c r="S98" i="16"/>
  <c r="T98" i="16"/>
  <c r="U98" i="16" s="1"/>
  <c r="V98" i="16" s="1"/>
  <c r="AI98" i="16"/>
  <c r="AJ98" i="16" s="1"/>
  <c r="AK98" i="16" s="1"/>
  <c r="AP98" i="16"/>
  <c r="M98" i="16"/>
  <c r="N98" i="16" s="1"/>
  <c r="Y24" i="16"/>
  <c r="U24" i="16"/>
  <c r="AQ24" i="16"/>
  <c r="AB24" i="16"/>
  <c r="AJ24" i="16"/>
  <c r="AI25" i="16"/>
  <c r="S25" i="16"/>
  <c r="AA25" i="16"/>
  <c r="AP25" i="16"/>
  <c r="M25" i="16"/>
  <c r="N25" i="16" s="1"/>
  <c r="X25" i="16"/>
  <c r="T25" i="16"/>
  <c r="L26" i="16"/>
  <c r="Y98" i="16" l="1"/>
  <c r="AB98" i="16"/>
  <c r="AQ98" i="16"/>
  <c r="K101" i="16"/>
  <c r="L100" i="16"/>
  <c r="AA99" i="16"/>
  <c r="T99" i="16"/>
  <c r="AP99" i="16"/>
  <c r="X99" i="16"/>
  <c r="S99" i="16"/>
  <c r="AI99" i="16"/>
  <c r="M99" i="16"/>
  <c r="N99" i="16" s="1"/>
  <c r="Y25" i="16"/>
  <c r="AB25" i="16"/>
  <c r="AQ25" i="16"/>
  <c r="U25" i="16"/>
  <c r="AJ25" i="16"/>
  <c r="AP26" i="16"/>
  <c r="X26" i="16"/>
  <c r="M26" i="16"/>
  <c r="N26" i="16" s="1"/>
  <c r="T26" i="16"/>
  <c r="AI26" i="16"/>
  <c r="S26" i="16"/>
  <c r="AA26" i="16"/>
  <c r="L27" i="16"/>
  <c r="AQ99" i="16" l="1"/>
  <c r="AJ99" i="16"/>
  <c r="Y99" i="16"/>
  <c r="U99" i="16"/>
  <c r="AB99" i="16"/>
  <c r="T100" i="16"/>
  <c r="U100" i="16" s="1"/>
  <c r="V100" i="16" s="1"/>
  <c r="M100" i="16"/>
  <c r="N100" i="16" s="1"/>
  <c r="AA100" i="16"/>
  <c r="AP100" i="16"/>
  <c r="S100" i="16"/>
  <c r="X100" i="16"/>
  <c r="AI100" i="16"/>
  <c r="L101" i="16"/>
  <c r="K102" i="16"/>
  <c r="Y26" i="16"/>
  <c r="AQ26" i="16"/>
  <c r="AB26" i="16"/>
  <c r="AJ26" i="16"/>
  <c r="U26" i="16"/>
  <c r="AP27" i="16"/>
  <c r="X27" i="16"/>
  <c r="M27" i="16"/>
  <c r="N27" i="16" s="1"/>
  <c r="T27" i="16"/>
  <c r="AI27" i="16"/>
  <c r="S27" i="16"/>
  <c r="AA27" i="16"/>
  <c r="L28" i="16"/>
  <c r="Y27" i="16" l="1"/>
  <c r="AJ100" i="16"/>
  <c r="Y100" i="16"/>
  <c r="AQ100" i="16"/>
  <c r="AB100" i="16"/>
  <c r="L102" i="16"/>
  <c r="K103" i="16"/>
  <c r="S101" i="16"/>
  <c r="AP101" i="16"/>
  <c r="M101" i="16"/>
  <c r="N101" i="16" s="1"/>
  <c r="AI101" i="16"/>
  <c r="AJ101" i="16" s="1"/>
  <c r="AK101" i="16" s="1"/>
  <c r="AA101" i="16"/>
  <c r="T101" i="16"/>
  <c r="X101" i="16"/>
  <c r="AQ27" i="16"/>
  <c r="AB27" i="16"/>
  <c r="AJ27" i="16"/>
  <c r="U27" i="16"/>
  <c r="AP28" i="16"/>
  <c r="X28" i="16"/>
  <c r="M28" i="16"/>
  <c r="N28" i="16" s="1"/>
  <c r="T28" i="16"/>
  <c r="AI28" i="16"/>
  <c r="S28" i="16"/>
  <c r="AA28" i="16"/>
  <c r="L29" i="16"/>
  <c r="AQ101" i="16" l="1"/>
  <c r="Y101" i="16"/>
  <c r="U101" i="16"/>
  <c r="AB101" i="16"/>
  <c r="K104" i="16"/>
  <c r="L103" i="16"/>
  <c r="AI102" i="16"/>
  <c r="X102" i="16"/>
  <c r="AP102" i="16"/>
  <c r="M102" i="16"/>
  <c r="N102" i="16" s="1"/>
  <c r="S102" i="16"/>
  <c r="T102" i="16"/>
  <c r="AA102" i="16"/>
  <c r="Y28" i="16"/>
  <c r="AQ28" i="16"/>
  <c r="U28" i="16"/>
  <c r="AJ28" i="16"/>
  <c r="AB28" i="16"/>
  <c r="L30" i="16"/>
  <c r="AP29" i="16"/>
  <c r="X29" i="16"/>
  <c r="M29" i="16"/>
  <c r="N29" i="16" s="1"/>
  <c r="T29" i="16"/>
  <c r="AI29" i="16"/>
  <c r="S29" i="16"/>
  <c r="AA29" i="16"/>
  <c r="AJ102" i="16" l="1"/>
  <c r="AQ102" i="16"/>
  <c r="Y102" i="16"/>
  <c r="U102" i="16"/>
  <c r="AB102" i="16"/>
  <c r="X103" i="16"/>
  <c r="AA103" i="16"/>
  <c r="S103" i="16"/>
  <c r="T103" i="16"/>
  <c r="U103" i="16" s="1"/>
  <c r="V103" i="16" s="1"/>
  <c r="AI103" i="16"/>
  <c r="AJ103" i="16" s="1"/>
  <c r="AK103" i="16" s="1"/>
  <c r="AP103" i="16"/>
  <c r="M103" i="16"/>
  <c r="N103" i="16" s="1"/>
  <c r="L104" i="16"/>
  <c r="K105" i="16"/>
  <c r="Y29" i="16"/>
  <c r="AB29" i="16"/>
  <c r="AQ29" i="16"/>
  <c r="AJ29" i="16"/>
  <c r="U29" i="16"/>
  <c r="L31" i="16"/>
  <c r="AP30" i="16"/>
  <c r="X30" i="16"/>
  <c r="M30" i="16"/>
  <c r="N30" i="16" s="1"/>
  <c r="T30" i="16"/>
  <c r="AI30" i="16"/>
  <c r="S30" i="16"/>
  <c r="AA30" i="16"/>
  <c r="AQ103" i="16" l="1"/>
  <c r="AB103" i="16"/>
  <c r="Y103" i="16"/>
  <c r="L105" i="16"/>
  <c r="K106" i="16"/>
  <c r="T104" i="16"/>
  <c r="U104" i="16" s="1"/>
  <c r="V104" i="16" s="1"/>
  <c r="AA104" i="16"/>
  <c r="AB104" i="16" s="1"/>
  <c r="AC104" i="16" s="1"/>
  <c r="AI104" i="16"/>
  <c r="AJ104" i="16" s="1"/>
  <c r="AK104" i="16" s="1"/>
  <c r="AP104" i="16"/>
  <c r="M104" i="16"/>
  <c r="N104" i="16" s="1"/>
  <c r="S104" i="16"/>
  <c r="X104" i="16"/>
  <c r="Y104" i="16" s="1"/>
  <c r="Y30" i="16"/>
  <c r="AQ30" i="16"/>
  <c r="U30" i="16"/>
  <c r="AB30" i="16"/>
  <c r="AJ30" i="16"/>
  <c r="L32" i="16"/>
  <c r="AP31" i="16"/>
  <c r="X31" i="16"/>
  <c r="M31" i="16"/>
  <c r="N31" i="16" s="1"/>
  <c r="T31" i="16"/>
  <c r="AI31" i="16"/>
  <c r="S31" i="16"/>
  <c r="AA31" i="16"/>
  <c r="AQ104" i="16" l="1"/>
  <c r="K107" i="16"/>
  <c r="L106" i="16"/>
  <c r="T105" i="16"/>
  <c r="X105" i="16"/>
  <c r="M105" i="16"/>
  <c r="N105" i="16" s="1"/>
  <c r="S105" i="16"/>
  <c r="AA105" i="16"/>
  <c r="AI105" i="16"/>
  <c r="AJ105" i="16" s="1"/>
  <c r="AK105" i="16" s="1"/>
  <c r="AP105" i="16"/>
  <c r="AQ105" i="16" s="1"/>
  <c r="AR105" i="16" s="1"/>
  <c r="Y31" i="16"/>
  <c r="AB31" i="16"/>
  <c r="U31" i="16"/>
  <c r="AJ31" i="16"/>
  <c r="AQ31" i="16"/>
  <c r="L33" i="16"/>
  <c r="AI32" i="16"/>
  <c r="AA32" i="16"/>
  <c r="AP32" i="16"/>
  <c r="X32" i="16"/>
  <c r="M32" i="16"/>
  <c r="N32" i="16" s="1"/>
  <c r="T32" i="16"/>
  <c r="S32" i="16"/>
  <c r="AB105" i="16" l="1"/>
  <c r="Y105" i="16"/>
  <c r="U105" i="16"/>
  <c r="AA106" i="16"/>
  <c r="S106" i="16"/>
  <c r="T106" i="16"/>
  <c r="AI106" i="16"/>
  <c r="AJ106" i="16" s="1"/>
  <c r="AK106" i="16" s="1"/>
  <c r="X106" i="16"/>
  <c r="AP106" i="16"/>
  <c r="AQ106" i="16" s="1"/>
  <c r="AR106" i="16" s="1"/>
  <c r="M106" i="16"/>
  <c r="N106" i="16" s="1"/>
  <c r="L107" i="16"/>
  <c r="K108" i="16"/>
  <c r="Y32" i="16"/>
  <c r="U32" i="16"/>
  <c r="AB32" i="16"/>
  <c r="AQ32" i="16"/>
  <c r="AJ32" i="16"/>
  <c r="L34" i="16"/>
  <c r="AI33" i="16"/>
  <c r="S33" i="16"/>
  <c r="AA33" i="16"/>
  <c r="AP33" i="16"/>
  <c r="X33" i="16"/>
  <c r="M33" i="16"/>
  <c r="N33" i="16" s="1"/>
  <c r="T33" i="16"/>
  <c r="Y106" i="16" l="1"/>
  <c r="U106" i="16"/>
  <c r="AB106" i="16"/>
  <c r="L108" i="16"/>
  <c r="K109" i="16"/>
  <c r="M107" i="16"/>
  <c r="N107" i="16" s="1"/>
  <c r="AI107" i="16"/>
  <c r="AJ107" i="16" s="1"/>
  <c r="AK107" i="16" s="1"/>
  <c r="S107" i="16"/>
  <c r="X107" i="16"/>
  <c r="AP107" i="16"/>
  <c r="T107" i="16"/>
  <c r="U107" i="16" s="1"/>
  <c r="V107" i="16" s="1"/>
  <c r="AA107" i="16"/>
  <c r="Y33" i="16"/>
  <c r="AQ33" i="16"/>
  <c r="U33" i="16"/>
  <c r="AB33" i="16"/>
  <c r="AJ33" i="16"/>
  <c r="T34" i="16"/>
  <c r="M34" i="16"/>
  <c r="N34" i="16" s="1"/>
  <c r="X34" i="16"/>
  <c r="AA34" i="16"/>
  <c r="AI34" i="16"/>
  <c r="AP34" i="16"/>
  <c r="S34" i="16"/>
  <c r="L35" i="16"/>
  <c r="Y107" i="16" l="1"/>
  <c r="AB107" i="16"/>
  <c r="AQ107" i="16"/>
  <c r="K110" i="16"/>
  <c r="L109" i="16"/>
  <c r="AP108" i="16"/>
  <c r="AI108" i="16"/>
  <c r="X108" i="16"/>
  <c r="T108" i="16"/>
  <c r="AA108" i="16"/>
  <c r="M108" i="16"/>
  <c r="N108" i="16" s="1"/>
  <c r="S108" i="16"/>
  <c r="Y34" i="16"/>
  <c r="AB34" i="16"/>
  <c r="AQ34" i="16"/>
  <c r="AJ34" i="16"/>
  <c r="U34" i="16"/>
  <c r="AI35" i="16"/>
  <c r="T35" i="16"/>
  <c r="S35" i="16"/>
  <c r="AP35" i="16"/>
  <c r="AA35" i="16"/>
  <c r="X35" i="16"/>
  <c r="M35" i="16"/>
  <c r="N35" i="16" s="1"/>
  <c r="L36" i="16"/>
  <c r="Y108" i="16" l="1"/>
  <c r="AJ108" i="16"/>
  <c r="AQ108" i="16"/>
  <c r="AB108" i="16"/>
  <c r="U108" i="16"/>
  <c r="X109" i="16"/>
  <c r="S109" i="16"/>
  <c r="AP109" i="16"/>
  <c r="M109" i="16"/>
  <c r="N109" i="16" s="1"/>
  <c r="T109" i="16"/>
  <c r="AA109" i="16"/>
  <c r="AI109" i="16"/>
  <c r="AJ109" i="16" s="1"/>
  <c r="AK109" i="16" s="1"/>
  <c r="K111" i="16"/>
  <c r="L110" i="16"/>
  <c r="Y35" i="16"/>
  <c r="AQ35" i="16"/>
  <c r="AB35" i="16"/>
  <c r="U35" i="16"/>
  <c r="AJ35" i="16"/>
  <c r="L37" i="16"/>
  <c r="X36" i="16"/>
  <c r="M36" i="16"/>
  <c r="N36" i="16" s="1"/>
  <c r="AI36" i="16"/>
  <c r="T36" i="16"/>
  <c r="S36" i="16"/>
  <c r="AP36" i="16"/>
  <c r="AA36" i="16"/>
  <c r="Y109" i="16" l="1"/>
  <c r="AB109" i="16"/>
  <c r="U109" i="16"/>
  <c r="AQ109" i="16"/>
  <c r="M110" i="16"/>
  <c r="N110" i="16" s="1"/>
  <c r="AI110" i="16"/>
  <c r="S110" i="16"/>
  <c r="T110" i="16"/>
  <c r="AP110" i="16"/>
  <c r="AA110" i="16"/>
  <c r="X110" i="16"/>
  <c r="L111" i="16"/>
  <c r="K112" i="16"/>
  <c r="Y36" i="16"/>
  <c r="AQ36" i="16"/>
  <c r="U36" i="16"/>
  <c r="AB36" i="16"/>
  <c r="AJ36" i="16"/>
  <c r="AI37" i="16"/>
  <c r="T37" i="16"/>
  <c r="S37" i="16"/>
  <c r="AA37" i="16"/>
  <c r="X37" i="16"/>
  <c r="M37" i="16"/>
  <c r="N37" i="16" s="1"/>
  <c r="AP37" i="16"/>
  <c r="L38" i="16"/>
  <c r="AJ110" i="16" l="1"/>
  <c r="AQ110" i="16"/>
  <c r="Y110" i="16"/>
  <c r="U110" i="16"/>
  <c r="AB110" i="16"/>
  <c r="K113" i="16"/>
  <c r="L112" i="16"/>
  <c r="AA111" i="16"/>
  <c r="AB111" i="16" s="1"/>
  <c r="AC111" i="16" s="1"/>
  <c r="M111" i="16"/>
  <c r="N111" i="16" s="1"/>
  <c r="AI111" i="16"/>
  <c r="AJ111" i="16" s="1"/>
  <c r="AK111" i="16" s="1"/>
  <c r="T111" i="16"/>
  <c r="U111" i="16" s="1"/>
  <c r="V111" i="16" s="1"/>
  <c r="AP111" i="16"/>
  <c r="AQ111" i="16" s="1"/>
  <c r="AR111" i="16" s="1"/>
  <c r="X111" i="16"/>
  <c r="Y111" i="16" s="1"/>
  <c r="S111" i="16"/>
  <c r="Y37" i="16"/>
  <c r="AQ37" i="16"/>
  <c r="U37" i="16"/>
  <c r="AB37" i="16"/>
  <c r="AJ37" i="16"/>
  <c r="L39" i="16"/>
  <c r="S38" i="16"/>
  <c r="AP38" i="16"/>
  <c r="AA38" i="16"/>
  <c r="X38" i="16"/>
  <c r="M38" i="16"/>
  <c r="N38" i="16" s="1"/>
  <c r="AI38" i="16"/>
  <c r="T38" i="16"/>
  <c r="T112" i="16" l="1"/>
  <c r="M112" i="16"/>
  <c r="N112" i="16" s="1"/>
  <c r="AA112" i="16"/>
  <c r="S112" i="16"/>
  <c r="X112" i="16"/>
  <c r="AI112" i="16"/>
  <c r="AJ112" i="16" s="1"/>
  <c r="AK112" i="16" s="1"/>
  <c r="AP112" i="16"/>
  <c r="AQ112" i="16" s="1"/>
  <c r="AR112" i="16" s="1"/>
  <c r="L113" i="16"/>
  <c r="K114" i="16"/>
  <c r="Y38" i="16"/>
  <c r="U38" i="16"/>
  <c r="AB38" i="16"/>
  <c r="AQ38" i="16"/>
  <c r="AJ38" i="16"/>
  <c r="L40" i="16"/>
  <c r="AP39" i="16"/>
  <c r="AA39" i="16"/>
  <c r="X39" i="16"/>
  <c r="M39" i="16"/>
  <c r="N39" i="16" s="1"/>
  <c r="AI39" i="16"/>
  <c r="T39" i="16"/>
  <c r="S39" i="16"/>
  <c r="U112" i="16" l="1"/>
  <c r="AB112" i="16"/>
  <c r="Y112" i="16"/>
  <c r="L114" i="16"/>
  <c r="K115" i="16"/>
  <c r="AP113" i="16"/>
  <c r="M113" i="16"/>
  <c r="N113" i="16" s="1"/>
  <c r="S113" i="16"/>
  <c r="X113" i="16"/>
  <c r="AA113" i="16"/>
  <c r="AI113" i="16"/>
  <c r="AJ113" i="16" s="1"/>
  <c r="T113" i="16"/>
  <c r="U113" i="16" s="1"/>
  <c r="V113" i="16" s="1"/>
  <c r="Y39" i="16"/>
  <c r="AB39" i="16"/>
  <c r="U39" i="16"/>
  <c r="AJ39" i="16"/>
  <c r="AQ39" i="16"/>
  <c r="L41" i="16"/>
  <c r="S40" i="16"/>
  <c r="AP40" i="16"/>
  <c r="AA40" i="16"/>
  <c r="X40" i="16"/>
  <c r="M40" i="16"/>
  <c r="N40" i="16" s="1"/>
  <c r="T40" i="16"/>
  <c r="AI40" i="16"/>
  <c r="AQ113" i="16" l="1"/>
  <c r="AB113" i="16"/>
  <c r="Y113" i="16"/>
  <c r="K116" i="16"/>
  <c r="L115" i="16"/>
  <c r="X114" i="16"/>
  <c r="AP114" i="16"/>
  <c r="T114" i="16"/>
  <c r="U114" i="16" s="1"/>
  <c r="V114" i="16" s="1"/>
  <c r="AI114" i="16"/>
  <c r="M114" i="16"/>
  <c r="N114" i="16" s="1"/>
  <c r="S114" i="16"/>
  <c r="AA114" i="16"/>
  <c r="Y40" i="16"/>
  <c r="U40" i="16"/>
  <c r="AQ40" i="16"/>
  <c r="AJ40" i="16"/>
  <c r="AB40" i="16"/>
  <c r="AI41" i="16"/>
  <c r="T41" i="16"/>
  <c r="S41" i="16"/>
  <c r="AP41" i="16"/>
  <c r="AA41" i="16"/>
  <c r="X41" i="16"/>
  <c r="M41" i="16"/>
  <c r="N41" i="16" s="1"/>
  <c r="L42" i="16"/>
  <c r="Y114" i="16" l="1"/>
  <c r="AQ114" i="16"/>
  <c r="AB114" i="16"/>
  <c r="AJ114" i="16"/>
  <c r="X115" i="16"/>
  <c r="Y115" i="16" s="1"/>
  <c r="S115" i="16"/>
  <c r="T115" i="16"/>
  <c r="U115" i="16" s="1"/>
  <c r="V115" i="16" s="1"/>
  <c r="AP115" i="16"/>
  <c r="AA115" i="16"/>
  <c r="AB115" i="16" s="1"/>
  <c r="AC115" i="16" s="1"/>
  <c r="AI115" i="16"/>
  <c r="AJ115" i="16" s="1"/>
  <c r="AK115" i="16" s="1"/>
  <c r="M115" i="16"/>
  <c r="N115" i="16" s="1"/>
  <c r="L116" i="16"/>
  <c r="K117" i="16"/>
  <c r="Y41" i="16"/>
  <c r="U41" i="16"/>
  <c r="AQ41" i="16"/>
  <c r="AB41" i="16"/>
  <c r="AJ41" i="16"/>
  <c r="L43" i="16"/>
  <c r="S42" i="16"/>
  <c r="X42" i="16"/>
  <c r="M42" i="16"/>
  <c r="N42" i="16" s="1"/>
  <c r="AI42" i="16"/>
  <c r="T42" i="16"/>
  <c r="AP42" i="16"/>
  <c r="AA42" i="16"/>
  <c r="AQ115" i="16" l="1"/>
  <c r="L117" i="16"/>
  <c r="K118" i="16"/>
  <c r="S116" i="16"/>
  <c r="T116" i="16"/>
  <c r="U116" i="16" s="1"/>
  <c r="V116" i="16" s="1"/>
  <c r="M116" i="16"/>
  <c r="N116" i="16" s="1"/>
  <c r="AA116" i="16"/>
  <c r="AI116" i="16"/>
  <c r="AJ116" i="16" s="1"/>
  <c r="AK116" i="16" s="1"/>
  <c r="X116" i="16"/>
  <c r="AP116" i="16"/>
  <c r="Y42" i="16"/>
  <c r="U42" i="16"/>
  <c r="AB42" i="16"/>
  <c r="AQ42" i="16"/>
  <c r="AJ42" i="16"/>
  <c r="AI43" i="16"/>
  <c r="T43" i="16"/>
  <c r="S43" i="16"/>
  <c r="AP43" i="16"/>
  <c r="AA43" i="16"/>
  <c r="X43" i="16"/>
  <c r="M43" i="16"/>
  <c r="N43" i="16" s="1"/>
  <c r="L44" i="16"/>
  <c r="Y116" i="16" l="1"/>
  <c r="AQ116" i="16"/>
  <c r="AB116" i="16"/>
  <c r="L118" i="16"/>
  <c r="K119" i="16"/>
  <c r="S117" i="16"/>
  <c r="T117" i="16"/>
  <c r="AP117" i="16"/>
  <c r="M117" i="16"/>
  <c r="N117" i="16" s="1"/>
  <c r="AI117" i="16"/>
  <c r="AJ117" i="16" s="1"/>
  <c r="AK117" i="16" s="1"/>
  <c r="X117" i="16"/>
  <c r="AA117" i="16"/>
  <c r="Y43" i="16"/>
  <c r="AQ43" i="16"/>
  <c r="AB43" i="16"/>
  <c r="U43" i="16"/>
  <c r="AJ43" i="16"/>
  <c r="L45" i="16"/>
  <c r="S44" i="16"/>
  <c r="AP44" i="16"/>
  <c r="AA44" i="16"/>
  <c r="X44" i="16"/>
  <c r="M44" i="16"/>
  <c r="N44" i="16" s="1"/>
  <c r="AI44" i="16"/>
  <c r="T44" i="16"/>
  <c r="U117" i="16" l="1"/>
  <c r="AQ117" i="16"/>
  <c r="AB117" i="16"/>
  <c r="Y117" i="16"/>
  <c r="K120" i="16"/>
  <c r="L119" i="16"/>
  <c r="AI118" i="16"/>
  <c r="AJ118" i="16" s="1"/>
  <c r="AK118" i="16" s="1"/>
  <c r="S118" i="16"/>
  <c r="X118" i="16"/>
  <c r="AP118" i="16"/>
  <c r="AA118" i="16"/>
  <c r="M118" i="16"/>
  <c r="N118" i="16" s="1"/>
  <c r="T118" i="16"/>
  <c r="Y44" i="16"/>
  <c r="U44" i="16"/>
  <c r="AQ44" i="16"/>
  <c r="AJ44" i="16"/>
  <c r="AB44" i="16"/>
  <c r="L46" i="16"/>
  <c r="AI45" i="16"/>
  <c r="T45" i="16"/>
  <c r="S45" i="16"/>
  <c r="AP45" i="16"/>
  <c r="X45" i="16"/>
  <c r="M45" i="16"/>
  <c r="N45" i="16" s="1"/>
  <c r="AA45" i="16"/>
  <c r="AQ118" i="16" l="1"/>
  <c r="U118" i="16"/>
  <c r="AB118" i="16"/>
  <c r="Y118" i="16"/>
  <c r="X119" i="16"/>
  <c r="S119" i="16"/>
  <c r="AP119" i="16"/>
  <c r="M119" i="16"/>
  <c r="N119" i="16" s="1"/>
  <c r="AI119" i="16"/>
  <c r="AJ119" i="16" s="1"/>
  <c r="AK119" i="16" s="1"/>
  <c r="T119" i="16"/>
  <c r="AA119" i="16"/>
  <c r="L120" i="16"/>
  <c r="K121" i="16"/>
  <c r="Y45" i="16"/>
  <c r="AQ45" i="16"/>
  <c r="U45" i="16"/>
  <c r="AB45" i="16"/>
  <c r="AJ45" i="16"/>
  <c r="X46" i="16"/>
  <c r="M46" i="16"/>
  <c r="N46" i="16" s="1"/>
  <c r="AI46" i="16"/>
  <c r="T46" i="16"/>
  <c r="S46" i="16"/>
  <c r="AP46" i="16"/>
  <c r="AA46" i="16"/>
  <c r="L47" i="16"/>
  <c r="AQ119" i="16" l="1"/>
  <c r="Y119" i="16"/>
  <c r="AB119" i="16"/>
  <c r="U119" i="16"/>
  <c r="K122" i="16"/>
  <c r="L121" i="16"/>
  <c r="M120" i="16"/>
  <c r="N120" i="16" s="1"/>
  <c r="AI120" i="16"/>
  <c r="AJ120" i="16" s="1"/>
  <c r="AK120" i="16" s="1"/>
  <c r="T120" i="16"/>
  <c r="AP120" i="16"/>
  <c r="X120" i="16"/>
  <c r="S120" i="16"/>
  <c r="AA120" i="16"/>
  <c r="Y46" i="16"/>
  <c r="U46" i="16"/>
  <c r="AB46" i="16"/>
  <c r="AQ46" i="16"/>
  <c r="AJ46" i="16"/>
  <c r="AP47" i="16"/>
  <c r="AA47" i="16"/>
  <c r="X47" i="16"/>
  <c r="M47" i="16"/>
  <c r="N47" i="16" s="1"/>
  <c r="AI47" i="16"/>
  <c r="T47" i="16"/>
  <c r="S47" i="16"/>
  <c r="L48" i="16"/>
  <c r="AB120" i="16" l="1"/>
  <c r="Y120" i="16"/>
  <c r="AQ120" i="16"/>
  <c r="U120" i="16"/>
  <c r="S121" i="16"/>
  <c r="T121" i="16"/>
  <c r="AP121" i="16"/>
  <c r="AQ121" i="16" s="1"/>
  <c r="AR121" i="16" s="1"/>
  <c r="X121" i="16"/>
  <c r="AA121" i="16"/>
  <c r="M121" i="16"/>
  <c r="N121" i="16" s="1"/>
  <c r="AI121" i="16"/>
  <c r="AJ121" i="16" s="1"/>
  <c r="AK121" i="16" s="1"/>
  <c r="K123" i="16"/>
  <c r="L122" i="16"/>
  <c r="Y47" i="16"/>
  <c r="AQ47" i="16"/>
  <c r="U47" i="16"/>
  <c r="AJ47" i="16"/>
  <c r="AB47" i="16"/>
  <c r="S48" i="16"/>
  <c r="AP48" i="16"/>
  <c r="AA48" i="16"/>
  <c r="X48" i="16"/>
  <c r="M48" i="16"/>
  <c r="N48" i="16" s="1"/>
  <c r="AI48" i="16"/>
  <c r="T48" i="16"/>
  <c r="L49" i="16"/>
  <c r="U121" i="16" l="1"/>
  <c r="AB121" i="16"/>
  <c r="Y121" i="16"/>
  <c r="AA122" i="16"/>
  <c r="T122" i="16"/>
  <c r="U122" i="16" s="1"/>
  <c r="V122" i="16" s="1"/>
  <c r="X122" i="16"/>
  <c r="M122" i="16"/>
  <c r="N122" i="16" s="1"/>
  <c r="S122" i="16"/>
  <c r="AI122" i="16"/>
  <c r="AJ122" i="16" s="1"/>
  <c r="AK122" i="16" s="1"/>
  <c r="AP122" i="16"/>
  <c r="AQ122" i="16" s="1"/>
  <c r="AR122" i="16" s="1"/>
  <c r="K124" i="16"/>
  <c r="L123" i="16"/>
  <c r="Y48" i="16"/>
  <c r="U48" i="16"/>
  <c r="AQ48" i="16"/>
  <c r="AB48" i="16"/>
  <c r="AJ48" i="16"/>
  <c r="AI49" i="16"/>
  <c r="T49" i="16"/>
  <c r="S49" i="16"/>
  <c r="AP49" i="16"/>
  <c r="AA49" i="16"/>
  <c r="X49" i="16"/>
  <c r="M49" i="16"/>
  <c r="N49" i="16" s="1"/>
  <c r="L50" i="16"/>
  <c r="Y122" i="16" l="1"/>
  <c r="AB122" i="16"/>
  <c r="M123" i="16"/>
  <c r="N123" i="16" s="1"/>
  <c r="S123" i="16"/>
  <c r="AI123" i="16"/>
  <c r="AJ123" i="16" s="1"/>
  <c r="AK123" i="16" s="1"/>
  <c r="T123" i="16"/>
  <c r="X123" i="16"/>
  <c r="AA123" i="16"/>
  <c r="AP123" i="16"/>
  <c r="K125" i="16"/>
  <c r="L124" i="16"/>
  <c r="Y49" i="16"/>
  <c r="AQ49" i="16"/>
  <c r="AB49" i="16"/>
  <c r="AJ49" i="16"/>
  <c r="U49" i="16"/>
  <c r="L51" i="16"/>
  <c r="S50" i="16"/>
  <c r="AP50" i="16"/>
  <c r="AA50" i="16"/>
  <c r="X50" i="16"/>
  <c r="M50" i="16"/>
  <c r="N50" i="16" s="1"/>
  <c r="AI50" i="16"/>
  <c r="T50" i="16"/>
  <c r="Y50" i="16" l="1"/>
  <c r="Y123" i="16"/>
  <c r="U123" i="16"/>
  <c r="AQ123" i="16"/>
  <c r="AB123" i="16"/>
  <c r="AI124" i="16"/>
  <c r="T124" i="16"/>
  <c r="X124" i="16"/>
  <c r="AP124" i="16"/>
  <c r="M124" i="16"/>
  <c r="N124" i="16" s="1"/>
  <c r="AA124" i="16"/>
  <c r="S124" i="16"/>
  <c r="K126" i="16"/>
  <c r="L125" i="16"/>
  <c r="U50" i="16"/>
  <c r="AB50" i="16"/>
  <c r="AQ50" i="16"/>
  <c r="AJ50" i="16"/>
  <c r="L52" i="16"/>
  <c r="AP51" i="16"/>
  <c r="AA51" i="16"/>
  <c r="X51" i="16"/>
  <c r="M51" i="16"/>
  <c r="N51" i="16" s="1"/>
  <c r="AI51" i="16"/>
  <c r="T51" i="16"/>
  <c r="S51" i="16"/>
  <c r="AQ124" i="16" l="1"/>
  <c r="AJ124" i="16"/>
  <c r="Y124" i="16"/>
  <c r="U124" i="16"/>
  <c r="AB124" i="16"/>
  <c r="S125" i="16"/>
  <c r="X125" i="16"/>
  <c r="AP125" i="16"/>
  <c r="AI125" i="16"/>
  <c r="T125" i="16"/>
  <c r="AA125" i="16"/>
  <c r="M125" i="16"/>
  <c r="N125" i="16" s="1"/>
  <c r="L126" i="16"/>
  <c r="K127" i="16"/>
  <c r="Y51" i="16"/>
  <c r="AQ51" i="16"/>
  <c r="AB51" i="16"/>
  <c r="U51" i="16"/>
  <c r="AJ51" i="16"/>
  <c r="L53" i="16"/>
  <c r="S52" i="16"/>
  <c r="AP52" i="16"/>
  <c r="AA52" i="16"/>
  <c r="X52" i="16"/>
  <c r="M52" i="16"/>
  <c r="N52" i="16" s="1"/>
  <c r="AI52" i="16"/>
  <c r="T52" i="16"/>
  <c r="Y52" i="16" l="1"/>
  <c r="AQ125" i="16"/>
  <c r="AJ125" i="16"/>
  <c r="AB125" i="16"/>
  <c r="Y125" i="16"/>
  <c r="U125" i="16"/>
  <c r="L127" i="16"/>
  <c r="K128" i="16"/>
  <c r="X126" i="16"/>
  <c r="AP126" i="16"/>
  <c r="M126" i="16"/>
  <c r="N126" i="16" s="1"/>
  <c r="AA126" i="16"/>
  <c r="AI126" i="16"/>
  <c r="AJ126" i="16" s="1"/>
  <c r="AK126" i="16" s="1"/>
  <c r="S126" i="16"/>
  <c r="T126" i="16"/>
  <c r="U52" i="16"/>
  <c r="AB52" i="16"/>
  <c r="AJ52" i="16"/>
  <c r="AQ52" i="16"/>
  <c r="L54" i="16"/>
  <c r="AI53" i="16"/>
  <c r="T53" i="16"/>
  <c r="S53" i="16"/>
  <c r="AP53" i="16"/>
  <c r="AA53" i="16"/>
  <c r="X53" i="16"/>
  <c r="M53" i="16"/>
  <c r="N53" i="16" s="1"/>
  <c r="Y126" i="16" l="1"/>
  <c r="AQ126" i="16"/>
  <c r="U126" i="16"/>
  <c r="AB126" i="16"/>
  <c r="K129" i="16"/>
  <c r="L128" i="16"/>
  <c r="X127" i="16"/>
  <c r="AP127" i="16"/>
  <c r="S127" i="16"/>
  <c r="T127" i="16"/>
  <c r="AA127" i="16"/>
  <c r="M127" i="16"/>
  <c r="N127" i="16" s="1"/>
  <c r="AI127" i="16"/>
  <c r="Y53" i="16"/>
  <c r="AQ53" i="16"/>
  <c r="AB53" i="16"/>
  <c r="U53" i="16"/>
  <c r="AJ53" i="16"/>
  <c r="X54" i="16"/>
  <c r="M54" i="16"/>
  <c r="N54" i="16" s="1"/>
  <c r="AI54" i="16"/>
  <c r="T54" i="16"/>
  <c r="S54" i="16"/>
  <c r="AP54" i="16"/>
  <c r="AA54" i="16"/>
  <c r="L55" i="16"/>
  <c r="Y127" i="16" l="1"/>
  <c r="AJ127" i="16"/>
  <c r="U127" i="16"/>
  <c r="AB127" i="16"/>
  <c r="AQ127" i="16"/>
  <c r="AA128" i="16"/>
  <c r="AI128" i="16"/>
  <c r="AJ128" i="16" s="1"/>
  <c r="AK128" i="16" s="1"/>
  <c r="X128" i="16"/>
  <c r="AP128" i="16"/>
  <c r="T128" i="16"/>
  <c r="M128" i="16"/>
  <c r="N128" i="16" s="1"/>
  <c r="S128" i="16"/>
  <c r="L129" i="16"/>
  <c r="K130" i="16"/>
  <c r="Y54" i="16"/>
  <c r="AB54" i="16"/>
  <c r="U54" i="16"/>
  <c r="AQ54" i="16"/>
  <c r="AJ54" i="16"/>
  <c r="AI55" i="16"/>
  <c r="T55" i="16"/>
  <c r="S55" i="16"/>
  <c r="AP55" i="16"/>
  <c r="AA55" i="16"/>
  <c r="X55" i="16"/>
  <c r="M55" i="16"/>
  <c r="N55" i="16" s="1"/>
  <c r="L56" i="16"/>
  <c r="Y128" i="16" l="1"/>
  <c r="AQ128" i="16"/>
  <c r="U128" i="16"/>
  <c r="AB128" i="16"/>
  <c r="L130" i="16"/>
  <c r="K131" i="16"/>
  <c r="M129" i="16"/>
  <c r="N129" i="16" s="1"/>
  <c r="AI129" i="16"/>
  <c r="AJ129" i="16" s="1"/>
  <c r="AK129" i="16" s="1"/>
  <c r="S129" i="16"/>
  <c r="T129" i="16"/>
  <c r="U129" i="16" s="1"/>
  <c r="V129" i="16" s="1"/>
  <c r="X129" i="16"/>
  <c r="Y129" i="16" s="1"/>
  <c r="AP129" i="16"/>
  <c r="AA129" i="16"/>
  <c r="AB129" i="16" s="1"/>
  <c r="AC129" i="16" s="1"/>
  <c r="Y55" i="16"/>
  <c r="U55" i="16"/>
  <c r="AB55" i="16"/>
  <c r="AQ55" i="16"/>
  <c r="AJ55" i="16"/>
  <c r="L57" i="16"/>
  <c r="X56" i="16"/>
  <c r="M56" i="16"/>
  <c r="N56" i="16" s="1"/>
  <c r="AI56" i="16"/>
  <c r="T56" i="16"/>
  <c r="S56" i="16"/>
  <c r="AP56" i="16"/>
  <c r="AA56" i="16"/>
  <c r="AQ129" i="16" l="1"/>
  <c r="K132" i="16"/>
  <c r="L131" i="16"/>
  <c r="AP130" i="16"/>
  <c r="AQ130" i="16" s="1"/>
  <c r="AR130" i="16" s="1"/>
  <c r="S130" i="16"/>
  <c r="M130" i="16"/>
  <c r="N130" i="16" s="1"/>
  <c r="AA130" i="16"/>
  <c r="T130" i="16"/>
  <c r="X130" i="16"/>
  <c r="AI130" i="16"/>
  <c r="AJ130" i="16" s="1"/>
  <c r="AK130" i="16" s="1"/>
  <c r="Y56" i="16"/>
  <c r="AQ56" i="16"/>
  <c r="U56" i="16"/>
  <c r="AB56" i="16"/>
  <c r="AJ56" i="16"/>
  <c r="L58" i="16"/>
  <c r="AI57" i="16"/>
  <c r="T57" i="16"/>
  <c r="S57" i="16"/>
  <c r="AP57" i="16"/>
  <c r="AA57" i="16"/>
  <c r="X57" i="16"/>
  <c r="M57" i="16"/>
  <c r="N57" i="16" s="1"/>
  <c r="AB130" i="16" l="1"/>
  <c r="Y130" i="16"/>
  <c r="U130" i="16"/>
  <c r="X131" i="16"/>
  <c r="T131" i="16"/>
  <c r="AP131" i="16"/>
  <c r="AI131" i="16"/>
  <c r="M131" i="16"/>
  <c r="N131" i="16" s="1"/>
  <c r="S131" i="16"/>
  <c r="AA131" i="16"/>
  <c r="L132" i="16"/>
  <c r="K133" i="16"/>
  <c r="Y57" i="16"/>
  <c r="AB57" i="16"/>
  <c r="U57" i="16"/>
  <c r="AQ57" i="16"/>
  <c r="AJ57" i="16"/>
  <c r="L59" i="16"/>
  <c r="X58" i="16"/>
  <c r="M58" i="16"/>
  <c r="N58" i="16" s="1"/>
  <c r="AI58" i="16"/>
  <c r="T58" i="16"/>
  <c r="S58" i="16"/>
  <c r="AA58" i="16"/>
  <c r="AP58" i="16"/>
  <c r="Y131" i="16" l="1"/>
  <c r="AJ131" i="16"/>
  <c r="AQ131" i="16"/>
  <c r="U131" i="16"/>
  <c r="AB131" i="16"/>
  <c r="L133" i="16"/>
  <c r="K134" i="16"/>
  <c r="X132" i="16"/>
  <c r="AP132" i="16"/>
  <c r="M132" i="16"/>
  <c r="N132" i="16" s="1"/>
  <c r="AA132" i="16"/>
  <c r="AI132" i="16"/>
  <c r="S132" i="16"/>
  <c r="T132" i="16"/>
  <c r="U132" i="16" s="1"/>
  <c r="V132" i="16" s="1"/>
  <c r="Y58" i="16"/>
  <c r="AB58" i="16"/>
  <c r="AQ58" i="16"/>
  <c r="U58" i="16"/>
  <c r="AJ58" i="16"/>
  <c r="L60" i="16"/>
  <c r="AI59" i="16"/>
  <c r="T59" i="16"/>
  <c r="S59" i="16"/>
  <c r="AP59" i="16"/>
  <c r="AA59" i="16"/>
  <c r="M59" i="16"/>
  <c r="N59" i="16" s="1"/>
  <c r="X59" i="16"/>
  <c r="AB132" i="16" l="1"/>
  <c r="Y132" i="16"/>
  <c r="AQ132" i="16"/>
  <c r="AJ132" i="16"/>
  <c r="K135" i="16"/>
  <c r="L134" i="16"/>
  <c r="S133" i="16"/>
  <c r="T133" i="16"/>
  <c r="U133" i="16" s="1"/>
  <c r="V133" i="16" s="1"/>
  <c r="AA133" i="16"/>
  <c r="AP133" i="16"/>
  <c r="AQ133" i="16" s="1"/>
  <c r="AR133" i="16" s="1"/>
  <c r="M133" i="16"/>
  <c r="N133" i="16" s="1"/>
  <c r="X133" i="16"/>
  <c r="AI133" i="16"/>
  <c r="AJ133" i="16" s="1"/>
  <c r="AK133" i="16" s="1"/>
  <c r="Y59" i="16"/>
  <c r="AB59" i="16"/>
  <c r="U59" i="16"/>
  <c r="AQ59" i="16"/>
  <c r="AJ59" i="16"/>
  <c r="S60" i="16"/>
  <c r="AP60" i="16"/>
  <c r="AA60" i="16"/>
  <c r="X60" i="16"/>
  <c r="M60" i="16"/>
  <c r="N60" i="16" s="1"/>
  <c r="AI60" i="16"/>
  <c r="T60" i="16"/>
  <c r="L61" i="16"/>
  <c r="Y133" i="16" l="1"/>
  <c r="AB133" i="16"/>
  <c r="T134" i="16"/>
  <c r="AI134" i="16"/>
  <c r="AJ134" i="16" s="1"/>
  <c r="AK134" i="16" s="1"/>
  <c r="X134" i="16"/>
  <c r="AP134" i="16"/>
  <c r="M134" i="16"/>
  <c r="N134" i="16" s="1"/>
  <c r="S134" i="16"/>
  <c r="AA134" i="16"/>
  <c r="K136" i="16"/>
  <c r="L135" i="16"/>
  <c r="Y60" i="16"/>
  <c r="U60" i="16"/>
  <c r="AQ60" i="16"/>
  <c r="AJ60" i="16"/>
  <c r="AB60" i="16"/>
  <c r="AA61" i="16"/>
  <c r="AI61" i="16"/>
  <c r="T61" i="16"/>
  <c r="S61" i="16"/>
  <c r="AP61" i="16"/>
  <c r="X61" i="16"/>
  <c r="M61" i="16"/>
  <c r="N61" i="16" s="1"/>
  <c r="L62" i="16"/>
  <c r="AQ134" i="16" l="1"/>
  <c r="Y134" i="16"/>
  <c r="U134" i="16"/>
  <c r="AB134" i="16"/>
  <c r="AI135" i="16"/>
  <c r="AJ135" i="16" s="1"/>
  <c r="AK135" i="16" s="1"/>
  <c r="X135" i="16"/>
  <c r="M135" i="16"/>
  <c r="N135" i="16" s="1"/>
  <c r="T135" i="16"/>
  <c r="S135" i="16"/>
  <c r="AA135" i="16"/>
  <c r="AP135" i="16"/>
  <c r="L136" i="16"/>
  <c r="K137" i="16"/>
  <c r="Y61" i="16"/>
  <c r="AQ61" i="16"/>
  <c r="AB61" i="16"/>
  <c r="U61" i="16"/>
  <c r="AJ61" i="16"/>
  <c r="L63" i="16"/>
  <c r="X62" i="16"/>
  <c r="M62" i="16"/>
  <c r="N62" i="16" s="1"/>
  <c r="AI62" i="16"/>
  <c r="T62" i="16"/>
  <c r="S62" i="16"/>
  <c r="AP62" i="16"/>
  <c r="AA62" i="16"/>
  <c r="AQ135" i="16" l="1"/>
  <c r="Y135" i="16"/>
  <c r="AB135" i="16"/>
  <c r="U135" i="16"/>
  <c r="L137" i="16"/>
  <c r="K138" i="16"/>
  <c r="AA136" i="16"/>
  <c r="T136" i="16"/>
  <c r="S136" i="16"/>
  <c r="AI136" i="16"/>
  <c r="M136" i="16"/>
  <c r="N136" i="16" s="1"/>
  <c r="AP136" i="16"/>
  <c r="X136" i="16"/>
  <c r="Y62" i="16"/>
  <c r="U62" i="16"/>
  <c r="AB62" i="16"/>
  <c r="AQ62" i="16"/>
  <c r="AJ62" i="16"/>
  <c r="L64" i="16"/>
  <c r="AP63" i="16"/>
  <c r="AA63" i="16"/>
  <c r="X63" i="16"/>
  <c r="M63" i="16"/>
  <c r="N63" i="16" s="1"/>
  <c r="AI63" i="16"/>
  <c r="T63" i="16"/>
  <c r="S63" i="16"/>
  <c r="Y136" i="16" l="1"/>
  <c r="AJ136" i="16"/>
  <c r="AQ136" i="16"/>
  <c r="AB136" i="16"/>
  <c r="U136" i="16"/>
  <c r="L138" i="16"/>
  <c r="K139" i="16"/>
  <c r="M137" i="16"/>
  <c r="N137" i="16" s="1"/>
  <c r="T137" i="16"/>
  <c r="AP137" i="16"/>
  <c r="AQ137" i="16" s="1"/>
  <c r="X137" i="16"/>
  <c r="AA137" i="16"/>
  <c r="AI137" i="16"/>
  <c r="AJ137" i="16" s="1"/>
  <c r="S137" i="16"/>
  <c r="Y63" i="16"/>
  <c r="AB63" i="16"/>
  <c r="AQ63" i="16"/>
  <c r="U63" i="16"/>
  <c r="AJ63" i="16"/>
  <c r="S64" i="16"/>
  <c r="AP64" i="16"/>
  <c r="AA64" i="16"/>
  <c r="X64" i="16"/>
  <c r="M64" i="16"/>
  <c r="N64" i="16" s="1"/>
  <c r="AI64" i="16"/>
  <c r="T64" i="16"/>
  <c r="L65" i="16"/>
  <c r="Y137" i="16" l="1"/>
  <c r="AB137" i="16"/>
  <c r="U137" i="16"/>
  <c r="L139" i="16"/>
  <c r="K140" i="16"/>
  <c r="AP138" i="16"/>
  <c r="AQ138" i="16" s="1"/>
  <c r="AR138" i="16" s="1"/>
  <c r="AA138" i="16"/>
  <c r="T138" i="16"/>
  <c r="U138" i="16" s="1"/>
  <c r="V138" i="16" s="1"/>
  <c r="M138" i="16"/>
  <c r="N138" i="16" s="1"/>
  <c r="AI138" i="16"/>
  <c r="AJ138" i="16" s="1"/>
  <c r="AK138" i="16" s="1"/>
  <c r="S138" i="16"/>
  <c r="X138" i="16"/>
  <c r="Y64" i="16"/>
  <c r="U64" i="16"/>
  <c r="AQ64" i="16"/>
  <c r="AJ64" i="16"/>
  <c r="AB64" i="16"/>
  <c r="AP65" i="16"/>
  <c r="AA65" i="16"/>
  <c r="X65" i="16"/>
  <c r="M65" i="16"/>
  <c r="N65" i="16" s="1"/>
  <c r="AI65" i="16"/>
  <c r="T65" i="16"/>
  <c r="S65" i="16"/>
  <c r="L66" i="16"/>
  <c r="Y138" i="16" l="1"/>
  <c r="AB138" i="16"/>
  <c r="L140" i="16"/>
  <c r="K141" i="16"/>
  <c r="X139" i="16"/>
  <c r="Y139" i="16" s="1"/>
  <c r="M139" i="16"/>
  <c r="N139" i="16" s="1"/>
  <c r="S139" i="16"/>
  <c r="T139" i="16"/>
  <c r="U139" i="16" s="1"/>
  <c r="V139" i="16" s="1"/>
  <c r="AA139" i="16"/>
  <c r="AB139" i="16" s="1"/>
  <c r="AC139" i="16" s="1"/>
  <c r="AI139" i="16"/>
  <c r="AJ139" i="16" s="1"/>
  <c r="AK139" i="16" s="1"/>
  <c r="AP139" i="16"/>
  <c r="Y65" i="16"/>
  <c r="U65" i="16"/>
  <c r="AB65" i="16"/>
  <c r="AQ65" i="16"/>
  <c r="AJ65" i="16"/>
  <c r="L67" i="16"/>
  <c r="S66" i="16"/>
  <c r="AP66" i="16"/>
  <c r="AA66" i="16"/>
  <c r="X66" i="16"/>
  <c r="M66" i="16"/>
  <c r="N66" i="16" s="1"/>
  <c r="AI66" i="16"/>
  <c r="T66" i="16"/>
  <c r="Y66" i="16" l="1"/>
  <c r="AQ139" i="16"/>
  <c r="K142" i="16"/>
  <c r="L141" i="16"/>
  <c r="AP140" i="16"/>
  <c r="AI140" i="16"/>
  <c r="AJ140" i="16" s="1"/>
  <c r="AK140" i="16" s="1"/>
  <c r="S140" i="16"/>
  <c r="T140" i="16"/>
  <c r="U140" i="16" s="1"/>
  <c r="V140" i="16" s="1"/>
  <c r="X140" i="16"/>
  <c r="AA140" i="16"/>
  <c r="M140" i="16"/>
  <c r="N140" i="16" s="1"/>
  <c r="AJ66" i="16"/>
  <c r="AB66" i="16"/>
  <c r="AQ66" i="16"/>
  <c r="U66" i="16"/>
  <c r="L68" i="16"/>
  <c r="AI67" i="16"/>
  <c r="T67" i="16"/>
  <c r="X67" i="16"/>
  <c r="M67" i="16"/>
  <c r="N67" i="16" s="1"/>
  <c r="AP67" i="16"/>
  <c r="AA67" i="16"/>
  <c r="S67" i="16"/>
  <c r="Y67" i="16" l="1"/>
  <c r="Y140" i="16"/>
  <c r="AB140" i="16"/>
  <c r="AQ140" i="16"/>
  <c r="X141" i="16"/>
  <c r="AI141" i="16"/>
  <c r="AJ141" i="16" s="1"/>
  <c r="AK141" i="16" s="1"/>
  <c r="S141" i="16"/>
  <c r="AP141" i="16"/>
  <c r="AQ141" i="16" s="1"/>
  <c r="AR141" i="16" s="1"/>
  <c r="M141" i="16"/>
  <c r="N141" i="16" s="1"/>
  <c r="AA141" i="16"/>
  <c r="T141" i="16"/>
  <c r="K143" i="16"/>
  <c r="L142" i="16"/>
  <c r="AJ67" i="16"/>
  <c r="AQ67" i="16"/>
  <c r="AB67" i="16"/>
  <c r="U67" i="16"/>
  <c r="L69" i="16"/>
  <c r="S68" i="16"/>
  <c r="AP68" i="16"/>
  <c r="AA68" i="16"/>
  <c r="X68" i="16"/>
  <c r="M68" i="16"/>
  <c r="N68" i="16" s="1"/>
  <c r="AI68" i="16"/>
  <c r="T68" i="16"/>
  <c r="Y68" i="16" l="1"/>
  <c r="Y141" i="16"/>
  <c r="AB141" i="16"/>
  <c r="U141" i="16"/>
  <c r="S142" i="16"/>
  <c r="AI142" i="16"/>
  <c r="AP142" i="16"/>
  <c r="M142" i="16"/>
  <c r="N142" i="16" s="1"/>
  <c r="T142" i="16"/>
  <c r="X142" i="16"/>
  <c r="AA142" i="16"/>
  <c r="K144" i="16"/>
  <c r="L143" i="16"/>
  <c r="U68" i="16"/>
  <c r="AJ68" i="16"/>
  <c r="AQ68" i="16"/>
  <c r="AB68" i="16"/>
  <c r="AP69" i="16"/>
  <c r="AA69" i="16"/>
  <c r="S69" i="16"/>
  <c r="AI69" i="16"/>
  <c r="T69" i="16"/>
  <c r="X69" i="16"/>
  <c r="Y69" i="16" s="1"/>
  <c r="M69" i="16"/>
  <c r="N69" i="16" s="1"/>
  <c r="L70" i="16"/>
  <c r="AQ142" i="16" l="1"/>
  <c r="AJ142" i="16"/>
  <c r="Y142" i="16"/>
  <c r="U142" i="16"/>
  <c r="AB142" i="16"/>
  <c r="M143" i="16"/>
  <c r="N143" i="16" s="1"/>
  <c r="AA143" i="16"/>
  <c r="AB143" i="16" s="1"/>
  <c r="AC143" i="16" s="1"/>
  <c r="AI143" i="16"/>
  <c r="AJ143" i="16" s="1"/>
  <c r="AK143" i="16" s="1"/>
  <c r="S143" i="16"/>
  <c r="X143" i="16"/>
  <c r="Y143" i="16" s="1"/>
  <c r="AP143" i="16"/>
  <c r="T143" i="16"/>
  <c r="U143" i="16" s="1"/>
  <c r="V143" i="16" s="1"/>
  <c r="L144" i="16"/>
  <c r="K145" i="16"/>
  <c r="U69" i="16"/>
  <c r="AJ69" i="16"/>
  <c r="AB69" i="16"/>
  <c r="AQ69" i="16"/>
  <c r="S70" i="16"/>
  <c r="AP70" i="16"/>
  <c r="AA70" i="16"/>
  <c r="X70" i="16"/>
  <c r="M70" i="16"/>
  <c r="N70" i="16" s="1"/>
  <c r="AI70" i="16"/>
  <c r="T70" i="16"/>
  <c r="L71" i="16"/>
  <c r="Y70" i="16" l="1"/>
  <c r="AQ143" i="16"/>
  <c r="L145" i="16"/>
  <c r="K146" i="16"/>
  <c r="T144" i="16"/>
  <c r="U144" i="16" s="1"/>
  <c r="V144" i="16" s="1"/>
  <c r="M144" i="16"/>
  <c r="N144" i="16" s="1"/>
  <c r="AA144" i="16"/>
  <c r="S144" i="16"/>
  <c r="X144" i="16"/>
  <c r="AI144" i="16"/>
  <c r="AJ144" i="16" s="1"/>
  <c r="AK144" i="16" s="1"/>
  <c r="AP144" i="16"/>
  <c r="AJ70" i="16"/>
  <c r="U70" i="16"/>
  <c r="AB70" i="16"/>
  <c r="AQ70" i="16"/>
  <c r="L72" i="16"/>
  <c r="AI71" i="16"/>
  <c r="T71" i="16"/>
  <c r="X71" i="16"/>
  <c r="M71" i="16"/>
  <c r="N71" i="16" s="1"/>
  <c r="AP71" i="16"/>
  <c r="AA71" i="16"/>
  <c r="S71" i="16"/>
  <c r="AQ144" i="16" l="1"/>
  <c r="Y71" i="16"/>
  <c r="AB144" i="16"/>
  <c r="Y144" i="16"/>
  <c r="L146" i="16"/>
  <c r="K147" i="16"/>
  <c r="S145" i="16"/>
  <c r="AI145" i="16"/>
  <c r="AJ145" i="16" s="1"/>
  <c r="AK145" i="16" s="1"/>
  <c r="X145" i="16"/>
  <c r="AP145" i="16"/>
  <c r="AA145" i="16"/>
  <c r="M145" i="16"/>
  <c r="N145" i="16" s="1"/>
  <c r="T145" i="16"/>
  <c r="AJ71" i="16"/>
  <c r="U71" i="16"/>
  <c r="AB71" i="16"/>
  <c r="AQ71" i="16"/>
  <c r="L73" i="16"/>
  <c r="X72" i="16"/>
  <c r="M72" i="16"/>
  <c r="N72" i="16" s="1"/>
  <c r="AI72" i="16"/>
  <c r="T72" i="16"/>
  <c r="S72" i="16"/>
  <c r="AP72" i="16"/>
  <c r="AA72" i="16"/>
  <c r="U145" i="16" l="1"/>
  <c r="AQ145" i="16"/>
  <c r="Y72" i="16"/>
  <c r="AB145" i="16"/>
  <c r="Y145" i="16"/>
  <c r="L147" i="16"/>
  <c r="K148" i="16"/>
  <c r="M146" i="16"/>
  <c r="N146" i="16" s="1"/>
  <c r="AI146" i="16"/>
  <c r="AJ146" i="16" s="1"/>
  <c r="AK146" i="16" s="1"/>
  <c r="X146" i="16"/>
  <c r="S146" i="16"/>
  <c r="T146" i="16"/>
  <c r="AA146" i="16"/>
  <c r="AP146" i="16"/>
  <c r="AJ72" i="16"/>
  <c r="AB72" i="16"/>
  <c r="U72" i="16"/>
  <c r="AQ72" i="16"/>
  <c r="L74" i="16"/>
  <c r="AP73" i="16"/>
  <c r="AA73" i="16"/>
  <c r="S73" i="16"/>
  <c r="AI73" i="16"/>
  <c r="T73" i="16"/>
  <c r="X73" i="16"/>
  <c r="M73" i="16"/>
  <c r="N73" i="16" s="1"/>
  <c r="Y73" i="16" l="1"/>
  <c r="Y146" i="16"/>
  <c r="AQ146" i="16"/>
  <c r="AB146" i="16"/>
  <c r="U146" i="16"/>
  <c r="L148" i="16"/>
  <c r="K149" i="16"/>
  <c r="AA147" i="16"/>
  <c r="T147" i="16"/>
  <c r="U147" i="16" s="1"/>
  <c r="V147" i="16" s="1"/>
  <c r="AI147" i="16"/>
  <c r="AP147" i="16"/>
  <c r="M147" i="16"/>
  <c r="N147" i="16" s="1"/>
  <c r="S147" i="16"/>
  <c r="X147" i="16"/>
  <c r="AJ73" i="16"/>
  <c r="AQ73" i="16"/>
  <c r="AB73" i="16"/>
  <c r="U73" i="16"/>
  <c r="X74" i="16"/>
  <c r="M74" i="16"/>
  <c r="N74" i="16" s="1"/>
  <c r="AI74" i="16"/>
  <c r="T74" i="16"/>
  <c r="AP74" i="16"/>
  <c r="AA74" i="16"/>
  <c r="S74" i="16"/>
  <c r="L75" i="16"/>
  <c r="Y74" i="16" l="1"/>
  <c r="AB147" i="16"/>
  <c r="Y147" i="16"/>
  <c r="AJ147" i="16"/>
  <c r="AQ147" i="16"/>
  <c r="L149" i="16"/>
  <c r="K150" i="16"/>
  <c r="T148" i="16"/>
  <c r="U148" i="16" s="1"/>
  <c r="V148" i="16" s="1"/>
  <c r="AI148" i="16"/>
  <c r="M148" i="16"/>
  <c r="N148" i="16" s="1"/>
  <c r="AP148" i="16"/>
  <c r="S148" i="16"/>
  <c r="AA148" i="16"/>
  <c r="AB148" i="16" s="1"/>
  <c r="AC148" i="16" s="1"/>
  <c r="X148" i="16"/>
  <c r="Y148" i="16" s="1"/>
  <c r="AJ74" i="16"/>
  <c r="AB74" i="16"/>
  <c r="U74" i="16"/>
  <c r="AQ74" i="16"/>
  <c r="L76" i="16"/>
  <c r="AP75" i="16"/>
  <c r="AA75" i="16"/>
  <c r="S75" i="16"/>
  <c r="AI75" i="16"/>
  <c r="T75" i="16"/>
  <c r="X75" i="16"/>
  <c r="M75" i="16"/>
  <c r="N75" i="16" s="1"/>
  <c r="Y75" i="16" l="1"/>
  <c r="AJ148" i="16"/>
  <c r="AQ148" i="16"/>
  <c r="L150" i="16"/>
  <c r="K151" i="16"/>
  <c r="AA149" i="16"/>
  <c r="S149" i="16"/>
  <c r="T149" i="16"/>
  <c r="U149" i="16" s="1"/>
  <c r="V149" i="16" s="1"/>
  <c r="AI149" i="16"/>
  <c r="M149" i="16"/>
  <c r="N149" i="16" s="1"/>
  <c r="AP149" i="16"/>
  <c r="X149" i="16"/>
  <c r="AJ75" i="16"/>
  <c r="AB75" i="16"/>
  <c r="U75" i="16"/>
  <c r="AQ75" i="16"/>
  <c r="X76" i="16"/>
  <c r="Y76" i="16" s="1"/>
  <c r="M76" i="16"/>
  <c r="N76" i="16" s="1"/>
  <c r="AI76" i="16"/>
  <c r="T76" i="16"/>
  <c r="S76" i="16"/>
  <c r="AP76" i="16"/>
  <c r="AA76" i="16"/>
  <c r="L77" i="16"/>
  <c r="AJ149" i="16" l="1"/>
  <c r="Y149" i="16"/>
  <c r="AB149" i="16"/>
  <c r="AQ149" i="16"/>
  <c r="L151" i="16"/>
  <c r="K152" i="16"/>
  <c r="M150" i="16"/>
  <c r="N150" i="16" s="1"/>
  <c r="AA150" i="16"/>
  <c r="AI150" i="16"/>
  <c r="AJ150" i="16" s="1"/>
  <c r="AK150" i="16" s="1"/>
  <c r="S150" i="16"/>
  <c r="X150" i="16"/>
  <c r="T150" i="16"/>
  <c r="AP150" i="16"/>
  <c r="AQ150" i="16" s="1"/>
  <c r="AR150" i="16" s="1"/>
  <c r="AQ76" i="16"/>
  <c r="AJ76" i="16"/>
  <c r="U76" i="16"/>
  <c r="AB76" i="16"/>
  <c r="AP77" i="16"/>
  <c r="AA77" i="16"/>
  <c r="S77" i="16"/>
  <c r="AI77" i="16"/>
  <c r="T77" i="16"/>
  <c r="M77" i="16"/>
  <c r="N77" i="16" s="1"/>
  <c r="X77" i="16"/>
  <c r="L78" i="16"/>
  <c r="AB150" i="16" l="1"/>
  <c r="Y150" i="16"/>
  <c r="Y77" i="16"/>
  <c r="U150" i="16"/>
  <c r="L152" i="16"/>
  <c r="K153" i="16"/>
  <c r="AP151" i="16"/>
  <c r="M151" i="16"/>
  <c r="N151" i="16" s="1"/>
  <c r="AI151" i="16"/>
  <c r="AJ151" i="16" s="1"/>
  <c r="AK151" i="16" s="1"/>
  <c r="T151" i="16"/>
  <c r="U151" i="16" s="1"/>
  <c r="V151" i="16" s="1"/>
  <c r="AA151" i="16"/>
  <c r="AB151" i="16" s="1"/>
  <c r="AC151" i="16" s="1"/>
  <c r="S151" i="16"/>
  <c r="X151" i="16"/>
  <c r="Y151" i="16" s="1"/>
  <c r="AJ77" i="16"/>
  <c r="AB77" i="16"/>
  <c r="U77" i="16"/>
  <c r="AQ77" i="16"/>
  <c r="X78" i="16"/>
  <c r="Y78" i="16" s="1"/>
  <c r="M78" i="16"/>
  <c r="N78" i="16" s="1"/>
  <c r="AI78" i="16"/>
  <c r="T78" i="16"/>
  <c r="S78" i="16"/>
  <c r="AP78" i="16"/>
  <c r="AA78" i="16"/>
  <c r="L79" i="16"/>
  <c r="AQ151" i="16" l="1"/>
  <c r="L153" i="16"/>
  <c r="K154" i="16"/>
  <c r="X152" i="16"/>
  <c r="AP152" i="16"/>
  <c r="S152" i="16"/>
  <c r="AA152" i="16"/>
  <c r="M152" i="16"/>
  <c r="N152" i="16" s="1"/>
  <c r="AI152" i="16"/>
  <c r="T152" i="16"/>
  <c r="AJ78" i="16"/>
  <c r="AQ78" i="16"/>
  <c r="AB78" i="16"/>
  <c r="U78" i="16"/>
  <c r="AP79" i="16"/>
  <c r="AA79" i="16"/>
  <c r="S79" i="16"/>
  <c r="AI79" i="16"/>
  <c r="T79" i="16"/>
  <c r="M79" i="16"/>
  <c r="N79" i="16" s="1"/>
  <c r="X79" i="16"/>
  <c r="Y79" i="16" s="1"/>
  <c r="L80" i="16"/>
  <c r="AQ152" i="16" l="1"/>
  <c r="Y152" i="16"/>
  <c r="AJ152" i="16"/>
  <c r="AB152" i="16"/>
  <c r="U152" i="16"/>
  <c r="L154" i="16"/>
  <c r="K155" i="16"/>
  <c r="X153" i="16"/>
  <c r="Y153" i="16" s="1"/>
  <c r="M153" i="16"/>
  <c r="N153" i="16" s="1"/>
  <c r="S153" i="16"/>
  <c r="T153" i="16"/>
  <c r="U153" i="16" s="1"/>
  <c r="V153" i="16" s="1"/>
  <c r="AA153" i="16"/>
  <c r="AB153" i="16" s="1"/>
  <c r="AC153" i="16" s="1"/>
  <c r="AI153" i="16"/>
  <c r="AJ153" i="16" s="1"/>
  <c r="AK153" i="16" s="1"/>
  <c r="AP153" i="16"/>
  <c r="AQ79" i="16"/>
  <c r="AJ79" i="16"/>
  <c r="AB79" i="16"/>
  <c r="U79" i="16"/>
  <c r="X80" i="16"/>
  <c r="M80" i="16"/>
  <c r="N80" i="16" s="1"/>
  <c r="AI80" i="16"/>
  <c r="T80" i="16"/>
  <c r="S80" i="16"/>
  <c r="AP80" i="16"/>
  <c r="AA80" i="16"/>
  <c r="L81" i="16"/>
  <c r="AQ153" i="16" l="1"/>
  <c r="Y80" i="16"/>
  <c r="L155" i="16"/>
  <c r="K156" i="16"/>
  <c r="AA154" i="16"/>
  <c r="AI154" i="16"/>
  <c r="AJ154" i="16" s="1"/>
  <c r="AK154" i="16" s="1"/>
  <c r="M154" i="16"/>
  <c r="N154" i="16" s="1"/>
  <c r="AP154" i="16"/>
  <c r="AQ154" i="16" s="1"/>
  <c r="AR154" i="16" s="1"/>
  <c r="S154" i="16"/>
  <c r="T154" i="16"/>
  <c r="U154" i="16" s="1"/>
  <c r="V154" i="16" s="1"/>
  <c r="X154" i="16"/>
  <c r="U80" i="16"/>
  <c r="AJ80" i="16"/>
  <c r="AQ80" i="16"/>
  <c r="AB80" i="16"/>
  <c r="AP81" i="16"/>
  <c r="AA81" i="16"/>
  <c r="S81" i="16"/>
  <c r="T81" i="16"/>
  <c r="X81" i="16"/>
  <c r="Y81" i="16" s="1"/>
  <c r="M81" i="16"/>
  <c r="N81" i="16" s="1"/>
  <c r="AI81" i="16"/>
  <c r="L82" i="16"/>
  <c r="AB154" i="16" l="1"/>
  <c r="Y154" i="16"/>
  <c r="L156" i="16"/>
  <c r="K157" i="16"/>
  <c r="M155" i="16"/>
  <c r="N155" i="16" s="1"/>
  <c r="AA155" i="16"/>
  <c r="AI155" i="16"/>
  <c r="S155" i="16"/>
  <c r="T155" i="16"/>
  <c r="U155" i="16" s="1"/>
  <c r="V155" i="16" s="1"/>
  <c r="X155" i="16"/>
  <c r="AP155" i="16"/>
  <c r="AJ81" i="16"/>
  <c r="AQ81" i="16"/>
  <c r="AB81" i="16"/>
  <c r="U81" i="16"/>
  <c r="L83" i="16"/>
  <c r="X82" i="16"/>
  <c r="M82" i="16"/>
  <c r="N82" i="16" s="1"/>
  <c r="AI82" i="16"/>
  <c r="T82" i="16"/>
  <c r="S82" i="16"/>
  <c r="AP82" i="16"/>
  <c r="AA82" i="16"/>
  <c r="Y155" i="16" l="1"/>
  <c r="AB155" i="16"/>
  <c r="Y82" i="16"/>
  <c r="AJ155" i="16"/>
  <c r="AQ155" i="16"/>
  <c r="L157" i="16"/>
  <c r="K158" i="16"/>
  <c r="AP156" i="16"/>
  <c r="AQ156" i="16" s="1"/>
  <c r="AR156" i="16" s="1"/>
  <c r="M156" i="16"/>
  <c r="N156" i="16" s="1"/>
  <c r="X156" i="16"/>
  <c r="Y156" i="16" s="1"/>
  <c r="AA156" i="16"/>
  <c r="AB156" i="16" s="1"/>
  <c r="AC156" i="16" s="1"/>
  <c r="S156" i="16"/>
  <c r="AI156" i="16"/>
  <c r="AJ156" i="16" s="1"/>
  <c r="AK156" i="16" s="1"/>
  <c r="T156" i="16"/>
  <c r="U156" i="16" s="1"/>
  <c r="V156" i="16" s="1"/>
  <c r="AJ82" i="16"/>
  <c r="AQ82" i="16"/>
  <c r="AB82" i="16"/>
  <c r="U82" i="16"/>
  <c r="AP83" i="16"/>
  <c r="AA83" i="16"/>
  <c r="S83" i="16"/>
  <c r="AI83" i="16"/>
  <c r="T83" i="16"/>
  <c r="X83" i="16"/>
  <c r="M83" i="16"/>
  <c r="N83" i="16" s="1"/>
  <c r="L84" i="16"/>
  <c r="Y83" i="16" l="1"/>
  <c r="K159" i="16"/>
  <c r="L158" i="16"/>
  <c r="X157" i="16"/>
  <c r="Y157" i="16" s="1"/>
  <c r="M157" i="16"/>
  <c r="N157" i="16" s="1"/>
  <c r="AA157" i="16"/>
  <c r="AB157" i="16" s="1"/>
  <c r="AC157" i="16" s="1"/>
  <c r="AP157" i="16"/>
  <c r="AQ157" i="16" s="1"/>
  <c r="S157" i="16"/>
  <c r="T157" i="16"/>
  <c r="U157" i="16" s="1"/>
  <c r="V157" i="16" s="1"/>
  <c r="AI157" i="16"/>
  <c r="AJ157" i="16" s="1"/>
  <c r="AJ83" i="16"/>
  <c r="AQ83" i="16"/>
  <c r="U83" i="16"/>
  <c r="AB83" i="16"/>
  <c r="S84" i="16"/>
  <c r="AP84" i="16"/>
  <c r="AA84" i="16"/>
  <c r="X84" i="16"/>
  <c r="Y84" i="16" s="1"/>
  <c r="M84" i="16"/>
  <c r="N84" i="16" s="1"/>
  <c r="AI84" i="16"/>
  <c r="T84" i="16"/>
  <c r="L85" i="16"/>
  <c r="M158" i="16" l="1"/>
  <c r="N158" i="16" s="1"/>
  <c r="AA158" i="16"/>
  <c r="AI158" i="16"/>
  <c r="AJ158" i="16" s="1"/>
  <c r="T158" i="16"/>
  <c r="X158" i="16"/>
  <c r="AP158" i="16"/>
  <c r="AQ158" i="16" s="1"/>
  <c r="S158" i="16"/>
  <c r="K160" i="16"/>
  <c r="L159" i="16"/>
  <c r="U84" i="16"/>
  <c r="AJ84" i="16"/>
  <c r="AB84" i="16"/>
  <c r="AQ84" i="16"/>
  <c r="AP85" i="16"/>
  <c r="AA85" i="16"/>
  <c r="S85" i="16"/>
  <c r="AI85" i="16"/>
  <c r="T85" i="16"/>
  <c r="X85" i="16"/>
  <c r="M85" i="16"/>
  <c r="N85" i="16" s="1"/>
  <c r="U158" i="16" l="1"/>
  <c r="Y85" i="16"/>
  <c r="Y158" i="16"/>
  <c r="AB158" i="16"/>
  <c r="Z129" i="16"/>
  <c r="Z153" i="16"/>
  <c r="Z151" i="16"/>
  <c r="Z86" i="16"/>
  <c r="Z87" i="16"/>
  <c r="Z91" i="16"/>
  <c r="Z139" i="16"/>
  <c r="Z90" i="16"/>
  <c r="Z157" i="16"/>
  <c r="Z115" i="16"/>
  <c r="Z111" i="16"/>
  <c r="Z104" i="16"/>
  <c r="Z156" i="16"/>
  <c r="Z143" i="16"/>
  <c r="Z92" i="16"/>
  <c r="Z148" i="16"/>
  <c r="AI159" i="16"/>
  <c r="S159" i="16"/>
  <c r="T159" i="16"/>
  <c r="M159" i="16"/>
  <c r="N159" i="16" s="1"/>
  <c r="AA159" i="16"/>
  <c r="X159" i="16"/>
  <c r="AP159" i="16"/>
  <c r="K161" i="16"/>
  <c r="L160" i="16"/>
  <c r="U85" i="16"/>
  <c r="AJ85" i="16"/>
  <c r="AB85" i="16"/>
  <c r="AQ85" i="16"/>
  <c r="AQ159" i="16" l="1"/>
  <c r="AJ159" i="16"/>
  <c r="U159" i="16"/>
  <c r="Y159" i="16"/>
  <c r="AB159" i="16"/>
  <c r="K162" i="16"/>
  <c r="L161" i="16"/>
  <c r="AI160" i="16"/>
  <c r="T160" i="16"/>
  <c r="AA160" i="16"/>
  <c r="M160" i="16"/>
  <c r="N160" i="16" s="1"/>
  <c r="AP160" i="16"/>
  <c r="S160" i="16"/>
  <c r="X160" i="16"/>
  <c r="AQ160" i="16" l="1"/>
  <c r="AJ160" i="16"/>
  <c r="U160" i="16"/>
  <c r="Y160" i="16"/>
  <c r="AB160" i="16"/>
  <c r="S161" i="16"/>
  <c r="T161" i="16"/>
  <c r="U161" i="16" s="1"/>
  <c r="V161" i="16" s="1"/>
  <c r="M161" i="16"/>
  <c r="N161" i="16" s="1"/>
  <c r="AA161" i="16"/>
  <c r="AB161" i="16" s="1"/>
  <c r="AC161" i="16" s="1"/>
  <c r="AI161" i="16"/>
  <c r="AP161" i="16"/>
  <c r="X161" i="16"/>
  <c r="Y161" i="16" s="1"/>
  <c r="Z161" i="16" s="1"/>
  <c r="L162" i="16"/>
  <c r="K163" i="16"/>
  <c r="AJ161" i="16" l="1"/>
  <c r="AQ161" i="16"/>
  <c r="L163" i="16"/>
  <c r="K164" i="16"/>
  <c r="AA162" i="16"/>
  <c r="AI162" i="16"/>
  <c r="AJ162" i="16" s="1"/>
  <c r="S162" i="16"/>
  <c r="AP162" i="16"/>
  <c r="M162" i="16"/>
  <c r="N162" i="16" s="1"/>
  <c r="T162" i="16"/>
  <c r="X162" i="16"/>
  <c r="AQ162" i="16" l="1"/>
  <c r="AK162" i="16"/>
  <c r="Y162" i="16"/>
  <c r="AB162" i="16"/>
  <c r="U162" i="16"/>
  <c r="L164" i="16"/>
  <c r="K165" i="16"/>
  <c r="M163" i="16"/>
  <c r="N163" i="16" s="1"/>
  <c r="AI163" i="16"/>
  <c r="AJ163" i="16" s="1"/>
  <c r="AK163" i="16" s="1"/>
  <c r="X163" i="16"/>
  <c r="AA163" i="16"/>
  <c r="S163" i="16"/>
  <c r="AP163" i="16"/>
  <c r="AQ163" i="16" s="1"/>
  <c r="T163" i="16"/>
  <c r="Z76" i="16"/>
  <c r="Z78" i="16"/>
  <c r="Z84" i="16"/>
  <c r="Z69" i="16"/>
  <c r="Z79" i="16"/>
  <c r="Z81" i="16"/>
  <c r="Z54" i="16"/>
  <c r="Z30" i="16"/>
  <c r="AB163" i="16" l="1"/>
  <c r="Y163" i="16"/>
  <c r="U163" i="16"/>
  <c r="K166" i="16"/>
  <c r="L165" i="16"/>
  <c r="AP164" i="16"/>
  <c r="AQ164" i="16" s="1"/>
  <c r="AA164" i="16"/>
  <c r="M164" i="16"/>
  <c r="N164" i="16" s="1"/>
  <c r="AI164" i="16"/>
  <c r="AJ164" i="16" s="1"/>
  <c r="AK164" i="16" s="1"/>
  <c r="S164" i="16"/>
  <c r="T164" i="16"/>
  <c r="U164" i="16" s="1"/>
  <c r="V164" i="16" s="1"/>
  <c r="X164" i="16"/>
  <c r="Y164" i="16" s="1"/>
  <c r="AK80" i="16"/>
  <c r="V68" i="16"/>
  <c r="V84" i="16"/>
  <c r="V69" i="16"/>
  <c r="V78" i="16"/>
  <c r="V22" i="16"/>
  <c r="V41" i="16"/>
  <c r="V46" i="16"/>
  <c r="V53" i="16"/>
  <c r="V70" i="16"/>
  <c r="V72" i="16"/>
  <c r="V73" i="16"/>
  <c r="V76" i="16"/>
  <c r="V79" i="16"/>
  <c r="V81" i="16"/>
  <c r="AR34" i="16"/>
  <c r="AR71" i="16"/>
  <c r="AR77" i="16"/>
  <c r="AK78" i="16"/>
  <c r="V50" i="16"/>
  <c r="AR21" i="16"/>
  <c r="AR65" i="16"/>
  <c r="AC69" i="16"/>
  <c r="AC78" i="16"/>
  <c r="AC84" i="16"/>
  <c r="V30" i="16"/>
  <c r="V31" i="16"/>
  <c r="V38" i="16"/>
  <c r="V52" i="16"/>
  <c r="V54" i="16"/>
  <c r="V57" i="16"/>
  <c r="V59" i="16"/>
  <c r="V60" i="16"/>
  <c r="V74" i="16"/>
  <c r="V83" i="16"/>
  <c r="AK79" i="16"/>
  <c r="AK85" i="16"/>
  <c r="AK71" i="16"/>
  <c r="AK81" i="16"/>
  <c r="AK77" i="16"/>
  <c r="AK73" i="16"/>
  <c r="AK72" i="16"/>
  <c r="AK84" i="16"/>
  <c r="AK75" i="16"/>
  <c r="AK76" i="16"/>
  <c r="AK74" i="16"/>
  <c r="Z164" i="16" l="1"/>
  <c r="AR164" i="16"/>
  <c r="X165" i="16"/>
  <c r="S165" i="16"/>
  <c r="AP165" i="16"/>
  <c r="T165" i="16"/>
  <c r="AA165" i="16"/>
  <c r="M165" i="16"/>
  <c r="N165" i="16" s="1"/>
  <c r="AI165" i="16"/>
  <c r="AJ165" i="16" s="1"/>
  <c r="K167" i="16"/>
  <c r="L166" i="16"/>
  <c r="AB164" i="16"/>
  <c r="AC50" i="16"/>
  <c r="AC79" i="16"/>
  <c r="AC54" i="16"/>
  <c r="AC43" i="16"/>
  <c r="AC65" i="16"/>
  <c r="AC81" i="16"/>
  <c r="AC76" i="16"/>
  <c r="U165" i="16" l="1"/>
  <c r="AQ165" i="16"/>
  <c r="Y165" i="16"/>
  <c r="AC164" i="16"/>
  <c r="AK165" i="16"/>
  <c r="AB165" i="16"/>
  <c r="AA166" i="16"/>
  <c r="T166" i="16"/>
  <c r="M166" i="16"/>
  <c r="N166" i="16" s="1"/>
  <c r="AI166" i="16"/>
  <c r="AJ166" i="16" s="1"/>
  <c r="S166" i="16"/>
  <c r="AP166" i="16"/>
  <c r="X166" i="16"/>
  <c r="K168" i="16"/>
  <c r="L167" i="16"/>
  <c r="AK166" i="16" l="1"/>
  <c r="Y166" i="16"/>
  <c r="AQ166" i="16"/>
  <c r="U166" i="16"/>
  <c r="AB166" i="16"/>
  <c r="M167" i="16"/>
  <c r="N167" i="16" s="1"/>
  <c r="S167" i="16"/>
  <c r="AP167" i="16"/>
  <c r="X167" i="16"/>
  <c r="AA167" i="16"/>
  <c r="AI167" i="16"/>
  <c r="AJ167" i="16" s="1"/>
  <c r="T167" i="16"/>
  <c r="U167" i="16" s="1"/>
  <c r="L168" i="16"/>
  <c r="K169" i="16"/>
  <c r="AK167" i="16" l="1"/>
  <c r="AQ167" i="16"/>
  <c r="Y167" i="16"/>
  <c r="V167" i="16"/>
  <c r="K170" i="16"/>
  <c r="L169" i="16"/>
  <c r="T168" i="16"/>
  <c r="AP168" i="16"/>
  <c r="AI168" i="16"/>
  <c r="AJ168" i="16" s="1"/>
  <c r="X168" i="16"/>
  <c r="M168" i="16"/>
  <c r="N168" i="16" s="1"/>
  <c r="S168" i="16"/>
  <c r="AA168" i="16"/>
  <c r="AB167" i="16"/>
  <c r="AQ168" i="16" l="1"/>
  <c r="Y168" i="16"/>
  <c r="U168" i="16"/>
  <c r="AB168" i="16"/>
  <c r="AK168" i="16"/>
  <c r="S169" i="16"/>
  <c r="X169" i="16"/>
  <c r="T169" i="16"/>
  <c r="AP169" i="16"/>
  <c r="AA169" i="16"/>
  <c r="M169" i="16"/>
  <c r="N169" i="16" s="1"/>
  <c r="AI169" i="16"/>
  <c r="AJ169" i="16" s="1"/>
  <c r="K171" i="16"/>
  <c r="L170" i="16"/>
  <c r="AK169" i="16" l="1"/>
  <c r="Y169" i="16"/>
  <c r="AQ169" i="16"/>
  <c r="U169" i="16"/>
  <c r="AI170" i="16"/>
  <c r="T170" i="16"/>
  <c r="X170" i="16"/>
  <c r="AA170" i="16"/>
  <c r="AP170" i="16"/>
  <c r="M170" i="16"/>
  <c r="N170" i="16" s="1"/>
  <c r="S170" i="16"/>
  <c r="L171" i="16"/>
  <c r="K172" i="16"/>
  <c r="AB169" i="16"/>
  <c r="AJ170" i="16" l="1"/>
  <c r="AQ170" i="16"/>
  <c r="Y170" i="16"/>
  <c r="U170" i="16"/>
  <c r="L172" i="16"/>
  <c r="K173" i="16"/>
  <c r="M171" i="16"/>
  <c r="N171" i="16" s="1"/>
  <c r="AI171" i="16"/>
  <c r="AJ171" i="16" s="1"/>
  <c r="T171" i="16"/>
  <c r="U171" i="16" s="1"/>
  <c r="AP171" i="16"/>
  <c r="X171" i="16"/>
  <c r="AA171" i="16"/>
  <c r="S171" i="16"/>
  <c r="AB170" i="16"/>
  <c r="Y171" i="16" l="1"/>
  <c r="AQ171" i="16"/>
  <c r="V171" i="16"/>
  <c r="AB171" i="16"/>
  <c r="AK171" i="16"/>
  <c r="L173" i="16"/>
  <c r="K174" i="16"/>
  <c r="T172" i="16"/>
  <c r="U172" i="16" s="1"/>
  <c r="S172" i="16"/>
  <c r="AP172" i="16"/>
  <c r="X172" i="16"/>
  <c r="Y172" i="16" s="1"/>
  <c r="Z172" i="16" s="1"/>
  <c r="AA172" i="16"/>
  <c r="M172" i="16"/>
  <c r="N172" i="16" s="1"/>
  <c r="AI172" i="16"/>
  <c r="V172" i="16" l="1"/>
  <c r="AQ172" i="16"/>
  <c r="AJ172" i="16"/>
  <c r="X173" i="16"/>
  <c r="AP173" i="16"/>
  <c r="M173" i="16"/>
  <c r="N173" i="16" s="1"/>
  <c r="AA173" i="16"/>
  <c r="AI173" i="16"/>
  <c r="S173" i="16"/>
  <c r="T173" i="16"/>
  <c r="AB172" i="16"/>
  <c r="L174" i="16"/>
  <c r="K175" i="16"/>
  <c r="AQ173" i="16" l="1"/>
  <c r="Y173" i="16"/>
  <c r="AJ173" i="16"/>
  <c r="U173" i="16"/>
  <c r="AC172" i="16"/>
  <c r="L175" i="16"/>
  <c r="K176" i="16"/>
  <c r="AA174" i="16"/>
  <c r="X174" i="16"/>
  <c r="AP174" i="16"/>
  <c r="S174" i="16"/>
  <c r="T174" i="16"/>
  <c r="U174" i="16" s="1"/>
  <c r="V174" i="16" s="1"/>
  <c r="M174" i="16"/>
  <c r="N174" i="16" s="1"/>
  <c r="AI174" i="16"/>
  <c r="AJ174" i="16" s="1"/>
  <c r="AK174" i="16" s="1"/>
  <c r="AB173" i="16"/>
  <c r="AQ174" i="16" l="1"/>
  <c r="Y174" i="16"/>
  <c r="AB174" i="16"/>
  <c r="L176" i="16"/>
  <c r="K177" i="16"/>
  <c r="AP175" i="16"/>
  <c r="AA175" i="16"/>
  <c r="T175" i="16"/>
  <c r="AI175" i="16"/>
  <c r="AJ175" i="16" s="1"/>
  <c r="AK175" i="16" s="1"/>
  <c r="M175" i="16"/>
  <c r="N175" i="16" s="1"/>
  <c r="X175" i="16"/>
  <c r="S175" i="16"/>
  <c r="AQ175" i="16" l="1"/>
  <c r="Y175" i="16"/>
  <c r="U175" i="16"/>
  <c r="AB175" i="16"/>
  <c r="L177" i="16"/>
  <c r="K178" i="16"/>
  <c r="X176" i="16"/>
  <c r="Y176" i="16" s="1"/>
  <c r="Z176" i="16" s="1"/>
  <c r="M176" i="16"/>
  <c r="N176" i="16" s="1"/>
  <c r="S176" i="16"/>
  <c r="T176" i="16"/>
  <c r="U176" i="16" s="1"/>
  <c r="V176" i="16" s="1"/>
  <c r="AA176" i="16"/>
  <c r="AB176" i="16" s="1"/>
  <c r="AC176" i="16" s="1"/>
  <c r="AI176" i="16"/>
  <c r="AJ176" i="16" s="1"/>
  <c r="AK176" i="16" s="1"/>
  <c r="AP176" i="16"/>
  <c r="AQ176" i="16" l="1"/>
  <c r="L178" i="16"/>
  <c r="K179" i="16"/>
  <c r="AP177" i="16"/>
  <c r="AA177" i="16"/>
  <c r="S177" i="16"/>
  <c r="T177" i="16"/>
  <c r="AI177" i="16"/>
  <c r="M177" i="16"/>
  <c r="N177" i="16" s="1"/>
  <c r="X177" i="16"/>
  <c r="AJ177" i="16" l="1"/>
  <c r="AQ177" i="16"/>
  <c r="Y177" i="16"/>
  <c r="U177" i="16"/>
  <c r="AB177" i="16"/>
  <c r="L179" i="16"/>
  <c r="K180" i="16"/>
  <c r="X178" i="16"/>
  <c r="M178" i="16"/>
  <c r="N178" i="16" s="1"/>
  <c r="AA178" i="16"/>
  <c r="AI178" i="16"/>
  <c r="AJ178" i="16" s="1"/>
  <c r="AK178" i="16" s="1"/>
  <c r="S178" i="16"/>
  <c r="AP178" i="16"/>
  <c r="T178" i="16"/>
  <c r="U178" i="16" s="1"/>
  <c r="V178" i="16" s="1"/>
  <c r="AQ178" i="16" l="1"/>
  <c r="Y178" i="16"/>
  <c r="AB178" i="16"/>
  <c r="L180" i="16"/>
  <c r="K181" i="16"/>
  <c r="T179" i="16"/>
  <c r="AP179" i="16"/>
  <c r="M179" i="16"/>
  <c r="N179" i="16" s="1"/>
  <c r="AI179" i="16"/>
  <c r="S179" i="16"/>
  <c r="X179" i="16"/>
  <c r="AA179" i="16"/>
  <c r="W109" i="8"/>
  <c r="Y179" i="16" l="1"/>
  <c r="AJ179" i="16"/>
  <c r="AQ179" i="16"/>
  <c r="AB179" i="16"/>
  <c r="U179" i="16"/>
  <c r="S180" i="16"/>
  <c r="X180" i="16"/>
  <c r="AP180" i="16"/>
  <c r="M180" i="16"/>
  <c r="N180" i="16" s="1"/>
  <c r="AI180" i="16"/>
  <c r="AJ180" i="16" s="1"/>
  <c r="T180" i="16"/>
  <c r="AA180" i="16"/>
  <c r="L181" i="16"/>
  <c r="K182" i="16"/>
  <c r="AQ180" i="16" l="1"/>
  <c r="Y180" i="16"/>
  <c r="AB180" i="16"/>
  <c r="U180" i="16"/>
  <c r="K183" i="16"/>
  <c r="L182" i="16"/>
  <c r="AI181" i="16"/>
  <c r="AJ181" i="16" s="1"/>
  <c r="AK181" i="16" s="1"/>
  <c r="T181" i="16"/>
  <c r="X181" i="16"/>
  <c r="M181" i="16"/>
  <c r="N181" i="16" s="1"/>
  <c r="AP181" i="16"/>
  <c r="AQ181" i="16" s="1"/>
  <c r="AR181" i="16" s="1"/>
  <c r="S181" i="16"/>
  <c r="AA181" i="16"/>
  <c r="Y181" i="16" l="1"/>
  <c r="U181" i="16"/>
  <c r="AB181" i="16"/>
  <c r="S182" i="16"/>
  <c r="M182" i="16"/>
  <c r="N182" i="16" s="1"/>
  <c r="AI182" i="16"/>
  <c r="AP182" i="16"/>
  <c r="T182" i="16"/>
  <c r="X182" i="16"/>
  <c r="AA182" i="16"/>
  <c r="L183" i="16"/>
  <c r="K184" i="16"/>
  <c r="AJ182" i="16" l="1"/>
  <c r="Y182" i="16"/>
  <c r="AB182" i="16"/>
  <c r="AQ182" i="16"/>
  <c r="U182" i="16"/>
  <c r="L184" i="16"/>
  <c r="K185" i="16"/>
  <c r="AI183" i="16"/>
  <c r="T183" i="16"/>
  <c r="U183" i="16" s="1"/>
  <c r="V183" i="16" s="1"/>
  <c r="AA183" i="16"/>
  <c r="M183" i="16"/>
  <c r="N183" i="16" s="1"/>
  <c r="AP183" i="16"/>
  <c r="S183" i="16"/>
  <c r="X183" i="16"/>
  <c r="Y183" i="16" l="1"/>
  <c r="AB183" i="16"/>
  <c r="AJ183" i="16"/>
  <c r="AQ183" i="16"/>
  <c r="L185" i="16"/>
  <c r="K186" i="16"/>
  <c r="S184" i="16"/>
  <c r="T184" i="16"/>
  <c r="M184" i="16"/>
  <c r="N184" i="16" s="1"/>
  <c r="AA184" i="16"/>
  <c r="AI184" i="16"/>
  <c r="AJ184" i="16" s="1"/>
  <c r="AK184" i="16" s="1"/>
  <c r="AP184" i="16"/>
  <c r="AQ184" i="16" s="1"/>
  <c r="AR184" i="16" s="1"/>
  <c r="X184" i="16"/>
  <c r="Y184" i="16" l="1"/>
  <c r="AB184" i="16"/>
  <c r="U184" i="16"/>
  <c r="K187" i="16"/>
  <c r="L186" i="16"/>
  <c r="AI185" i="16"/>
  <c r="AJ185" i="16" s="1"/>
  <c r="AK185" i="16" s="1"/>
  <c r="S185" i="16"/>
  <c r="AP185" i="16"/>
  <c r="AQ185" i="16" s="1"/>
  <c r="AR185" i="16" s="1"/>
  <c r="X185" i="16"/>
  <c r="Y185" i="16" s="1"/>
  <c r="Z185" i="16" s="1"/>
  <c r="AA185" i="16"/>
  <c r="AB185" i="16" s="1"/>
  <c r="AC185" i="16" s="1"/>
  <c r="M185" i="16"/>
  <c r="N185" i="16"/>
  <c r="T185" i="16"/>
  <c r="U185" i="16" s="1"/>
  <c r="V185" i="16" s="1"/>
  <c r="AI186" i="16" l="1"/>
  <c r="AJ186" i="16" s="1"/>
  <c r="X186" i="16"/>
  <c r="Y186" i="16" s="1"/>
  <c r="Z186" i="16" s="1"/>
  <c r="S186" i="16"/>
  <c r="AP186" i="16"/>
  <c r="AQ186" i="16" s="1"/>
  <c r="AR186" i="16" s="1"/>
  <c r="T186" i="16"/>
  <c r="U186" i="16" s="1"/>
  <c r="V186" i="16" s="1"/>
  <c r="AA186" i="16"/>
  <c r="AB186" i="16" s="1"/>
  <c r="AC186" i="16" s="1"/>
  <c r="M186" i="16"/>
  <c r="N186" i="16"/>
  <c r="K188" i="16"/>
  <c r="L187" i="16"/>
  <c r="AK186" i="16" l="1"/>
  <c r="N187" i="16"/>
  <c r="AA187" i="16"/>
  <c r="AB187" i="16" s="1"/>
  <c r="M187" i="16"/>
  <c r="S187" i="16"/>
  <c r="AP187" i="16"/>
  <c r="AQ187" i="16" s="1"/>
  <c r="T187" i="16"/>
  <c r="U187" i="16" s="1"/>
  <c r="V187" i="16" s="1"/>
  <c r="AI187" i="16"/>
  <c r="AJ187" i="16" s="1"/>
  <c r="AK187" i="16" s="1"/>
  <c r="X187" i="16"/>
  <c r="Y187" i="16" s="1"/>
  <c r="L188" i="16"/>
  <c r="K189" i="16"/>
  <c r="Z187" i="16" l="1"/>
  <c r="AR187" i="16"/>
  <c r="AC187" i="16"/>
  <c r="L189" i="16"/>
  <c r="K190" i="16"/>
  <c r="M188" i="16"/>
  <c r="N188" i="16"/>
  <c r="S188" i="16"/>
  <c r="AP188" i="16"/>
  <c r="AQ188" i="16" s="1"/>
  <c r="T188" i="16"/>
  <c r="U188" i="16" s="1"/>
  <c r="X188" i="16"/>
  <c r="Y188" i="16" s="1"/>
  <c r="Z188" i="16" s="1"/>
  <c r="AA188" i="16"/>
  <c r="AB188" i="16" s="1"/>
  <c r="AI188" i="16"/>
  <c r="AJ188" i="16" s="1"/>
  <c r="AK188" i="16" s="1"/>
  <c r="V188" i="16" l="1"/>
  <c r="AR188" i="16"/>
  <c r="AC188" i="16"/>
  <c r="K191" i="16"/>
  <c r="L190" i="16"/>
  <c r="AP189" i="16"/>
  <c r="AQ189" i="16" s="1"/>
  <c r="N189" i="16"/>
  <c r="AA189" i="16"/>
  <c r="AB189" i="16" s="1"/>
  <c r="T189" i="16"/>
  <c r="U189" i="16" s="1"/>
  <c r="M189" i="16"/>
  <c r="AI189" i="16"/>
  <c r="AJ189" i="16" s="1"/>
  <c r="AK189" i="16" s="1"/>
  <c r="S189" i="16"/>
  <c r="X189" i="16"/>
  <c r="Y189" i="16" s="1"/>
  <c r="Z189" i="16" l="1"/>
  <c r="AC189" i="16"/>
  <c r="AR189" i="16"/>
  <c r="V189" i="16"/>
  <c r="X190" i="16"/>
  <c r="Y190" i="16" s="1"/>
  <c r="Z190" i="16" s="1"/>
  <c r="S190" i="16"/>
  <c r="T190" i="16"/>
  <c r="U190" i="16" s="1"/>
  <c r="V190" i="16" s="1"/>
  <c r="AP190" i="16"/>
  <c r="AQ190" i="16" s="1"/>
  <c r="AR190" i="16" s="1"/>
  <c r="M190" i="16"/>
  <c r="AA190" i="16"/>
  <c r="AB190" i="16" s="1"/>
  <c r="AC190" i="16" s="1"/>
  <c r="N190" i="16"/>
  <c r="AI190" i="16"/>
  <c r="AJ190" i="16" s="1"/>
  <c r="L191" i="16"/>
  <c r="K192" i="16"/>
  <c r="AK190" i="16" l="1"/>
  <c r="K193" i="16"/>
  <c r="L192" i="16"/>
  <c r="T191" i="16"/>
  <c r="U191" i="16" s="1"/>
  <c r="X191" i="16"/>
  <c r="Y191" i="16" s="1"/>
  <c r="Z191" i="16" s="1"/>
  <c r="AP191" i="16"/>
  <c r="AQ191" i="16" s="1"/>
  <c r="AR191" i="16" s="1"/>
  <c r="N191" i="16"/>
  <c r="AA191" i="16"/>
  <c r="AB191" i="16" s="1"/>
  <c r="AI191" i="16"/>
  <c r="AJ191" i="16" s="1"/>
  <c r="AK191" i="16" s="1"/>
  <c r="M191" i="16"/>
  <c r="S191" i="16"/>
  <c r="V191" i="16" l="1"/>
  <c r="AC191" i="16"/>
  <c r="S192" i="16"/>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V193" i="16" s="1"/>
  <c r="AP193" i="16"/>
  <c r="AQ193" i="16" s="1"/>
  <c r="AR193" i="16" s="1"/>
  <c r="M193" i="16"/>
  <c r="N193" i="16"/>
  <c r="X193" i="16"/>
  <c r="Y193" i="16" s="1"/>
  <c r="Z193" i="16" s="1"/>
  <c r="AA193" i="16"/>
  <c r="AB193" i="16" s="1"/>
  <c r="AC193" i="16" s="1"/>
  <c r="AI194" i="16" l="1"/>
  <c r="AJ194" i="16" s="1"/>
  <c r="AK194" i="16" s="1"/>
  <c r="S194" i="16"/>
  <c r="T194" i="16"/>
  <c r="U194" i="16" s="1"/>
  <c r="V194" i="16" s="1"/>
  <c r="X194" i="16"/>
  <c r="Y194" i="16" s="1"/>
  <c r="Z194" i="16" s="1"/>
  <c r="N194" i="16"/>
  <c r="AA194" i="16"/>
  <c r="AB194" i="16" s="1"/>
  <c r="AC194" i="16" s="1"/>
  <c r="M194" i="16"/>
  <c r="AP194" i="16"/>
  <c r="AQ194" i="16" s="1"/>
  <c r="AR194" i="16" s="1"/>
  <c r="K196" i="16"/>
  <c r="L195" i="16"/>
  <c r="AI195" i="16" l="1"/>
  <c r="AJ195" i="16" s="1"/>
  <c r="AK195" i="16" s="1"/>
  <c r="S195" i="16"/>
  <c r="T195" i="16"/>
  <c r="U195" i="16" s="1"/>
  <c r="V195" i="16" s="1"/>
  <c r="M195" i="16"/>
  <c r="AA195" i="16"/>
  <c r="AB195" i="16" s="1"/>
  <c r="AC195" i="16" s="1"/>
  <c r="AP195" i="16"/>
  <c r="AQ195" i="16" s="1"/>
  <c r="AR195" i="16" s="1"/>
  <c r="N195" i="16"/>
  <c r="X195" i="16"/>
  <c r="Y195" i="16" s="1"/>
  <c r="Z195" i="16" s="1"/>
  <c r="L196" i="16"/>
  <c r="K197" i="16"/>
  <c r="K198" i="16" l="1"/>
  <c r="L197" i="16"/>
  <c r="AI196" i="16"/>
  <c r="AJ196" i="16" s="1"/>
  <c r="AK196" i="16" s="1"/>
  <c r="S196" i="16"/>
  <c r="AP196" i="16"/>
  <c r="AQ196" i="16" s="1"/>
  <c r="AR196" i="16" s="1"/>
  <c r="M196" i="16"/>
  <c r="N196" i="16"/>
  <c r="T196" i="16"/>
  <c r="U196" i="16" s="1"/>
  <c r="V196" i="16" s="1"/>
  <c r="X196" i="16"/>
  <c r="Y196" i="16" s="1"/>
  <c r="Z196" i="16" s="1"/>
  <c r="AA196" i="16"/>
  <c r="AB196" i="16" s="1"/>
  <c r="AC196" i="16" s="1"/>
  <c r="N197" i="16" l="1"/>
  <c r="AA197" i="16"/>
  <c r="AB197" i="16" s="1"/>
  <c r="AC197" i="16" s="1"/>
  <c r="T197" i="16"/>
  <c r="U197" i="16" s="1"/>
  <c r="V197" i="16" s="1"/>
  <c r="X197" i="16"/>
  <c r="Y197" i="16" s="1"/>
  <c r="Z197" i="16" s="1"/>
  <c r="M197" i="16"/>
  <c r="AP197" i="16"/>
  <c r="AQ197" i="16" s="1"/>
  <c r="AR197" i="16" s="1"/>
  <c r="S197" i="16"/>
  <c r="AI197" i="16"/>
  <c r="AJ197" i="16" s="1"/>
  <c r="AK197" i="16" s="1"/>
  <c r="K199" i="16"/>
  <c r="L198" i="16"/>
  <c r="M198" i="16" l="1"/>
  <c r="N198" i="16"/>
  <c r="AA198" i="16"/>
  <c r="AB198" i="16" s="1"/>
  <c r="AC198" i="16" s="1"/>
  <c r="S198" i="16"/>
  <c r="AP198" i="16"/>
  <c r="AQ198" i="16" s="1"/>
  <c r="AR198" i="16" s="1"/>
  <c r="T198" i="16"/>
  <c r="U198" i="16" s="1"/>
  <c r="V198" i="16" s="1"/>
  <c r="X198" i="16"/>
  <c r="Y198" i="16" s="1"/>
  <c r="Z198" i="16" s="1"/>
  <c r="AI198" i="16"/>
  <c r="AJ198" i="16" s="1"/>
  <c r="AK198" i="16" s="1"/>
  <c r="L199" i="16"/>
  <c r="K200" i="16"/>
  <c r="L200" i="16" l="1"/>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E86" i="8" s="1"/>
  <c r="Y86" i="8"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M343" i="16"/>
  <c r="N343" i="16"/>
  <c r="AA343" i="16"/>
  <c r="AI343" i="16"/>
  <c r="AJ343"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AR49" i="16" l="1"/>
  <c r="V37" i="16"/>
  <c r="V35" i="16"/>
  <c r="V51" i="16"/>
  <c r="AR25" i="16"/>
  <c r="Z52" i="16"/>
  <c r="V47" i="16"/>
  <c r="Z50" i="16"/>
  <c r="Z59" i="16"/>
  <c r="V25" i="16"/>
  <c r="V43" i="16"/>
  <c r="V65" i="16"/>
  <c r="V63" i="16"/>
  <c r="Z45" i="16"/>
  <c r="Z43" i="16"/>
  <c r="Z63" i="16"/>
  <c r="Z17" i="16"/>
  <c r="Z65" i="16"/>
  <c r="M9" i="16"/>
  <c r="L37" i="8" s="1"/>
  <c r="AR56" i="16"/>
  <c r="AR20" i="16"/>
  <c r="V36" i="16"/>
  <c r="V39" i="16"/>
  <c r="V40" i="16"/>
  <c r="AK37" i="16"/>
  <c r="AK52" i="16"/>
  <c r="AK27" i="16"/>
  <c r="AK51" i="16"/>
  <c r="AK42" i="16"/>
  <c r="AK38" i="16"/>
  <c r="AK63" i="16"/>
  <c r="AK16" i="16"/>
  <c r="AK21" i="16"/>
  <c r="AK49" i="16"/>
  <c r="AK39" i="16"/>
  <c r="AK24" i="16"/>
  <c r="AK41" i="16"/>
  <c r="AK18" i="16"/>
  <c r="AK45" i="16"/>
  <c r="AK44" i="16"/>
  <c r="AK56" i="16"/>
  <c r="AK46" i="16"/>
  <c r="AK25" i="16"/>
  <c r="AK34" i="16"/>
  <c r="AK65" i="16"/>
  <c r="AK64" i="16"/>
  <c r="AK59" i="16"/>
  <c r="AK57" i="16"/>
  <c r="AK36" i="16"/>
  <c r="AK54" i="16"/>
  <c r="AK20" i="16"/>
  <c r="AK33" i="16"/>
  <c r="AK22" i="16"/>
  <c r="AK29" i="16"/>
  <c r="AK47" i="16"/>
  <c r="AK62" i="16"/>
  <c r="AK43" i="16"/>
  <c r="AK26" i="16"/>
  <c r="AK68" i="16"/>
  <c r="AK48" i="16"/>
  <c r="AK14" i="16"/>
  <c r="AK32" i="16"/>
  <c r="AK28" i="16"/>
  <c r="AK17" i="16"/>
  <c r="AK60" i="16"/>
  <c r="AK61" i="16"/>
  <c r="AK11" i="16"/>
  <c r="AK12" i="16"/>
  <c r="AR14" i="16"/>
  <c r="AR46" i="16"/>
  <c r="AR24" i="16"/>
  <c r="Z18" i="16"/>
  <c r="Z37" i="16"/>
  <c r="Z36" i="16"/>
  <c r="Z40" i="16"/>
  <c r="Z41" i="16"/>
  <c r="Z20" i="16"/>
  <c r="AK86" i="16"/>
  <c r="AK127" i="16"/>
  <c r="AK149" i="16"/>
  <c r="AK35" i="16"/>
  <c r="AK161" i="16"/>
  <c r="AK31" i="16"/>
  <c r="AK55" i="16"/>
  <c r="AK70" i="16"/>
  <c r="AK83" i="16"/>
  <c r="Z127" i="16"/>
  <c r="Z107" i="16"/>
  <c r="Z136" i="16"/>
  <c r="Z131" i="16"/>
  <c r="Z95" i="16"/>
  <c r="Z93" i="16"/>
  <c r="Z70" i="16"/>
  <c r="Z75" i="16"/>
  <c r="Z46" i="16"/>
  <c r="Z61" i="16"/>
  <c r="Z68" i="16"/>
  <c r="Z47" i="16"/>
  <c r="Z24" i="16"/>
  <c r="Z11" i="16"/>
  <c r="Z62" i="16"/>
  <c r="Z13" i="16"/>
  <c r="Z42" i="16"/>
  <c r="Z183" i="16"/>
  <c r="AK89" i="16"/>
  <c r="AK99" i="16"/>
  <c r="AK124" i="16"/>
  <c r="AK58" i="16"/>
  <c r="AK66" i="16"/>
  <c r="AK170" i="16"/>
  <c r="AR89" i="16"/>
  <c r="AR99" i="16"/>
  <c r="AR124" i="16"/>
  <c r="AR58" i="16"/>
  <c r="AR170" i="16"/>
  <c r="AK110" i="16"/>
  <c r="AK136" i="16"/>
  <c r="AK142" i="16"/>
  <c r="AK148" i="16"/>
  <c r="AK159" i="16"/>
  <c r="AK182" i="16"/>
  <c r="AR87" i="16"/>
  <c r="AR104" i="16"/>
  <c r="AR110" i="16"/>
  <c r="AR118" i="16"/>
  <c r="AR119" i="16"/>
  <c r="AR134" i="16"/>
  <c r="AR136" i="16"/>
  <c r="AR142" i="16"/>
  <c r="AR144" i="16"/>
  <c r="AR153" i="16"/>
  <c r="AR159" i="16"/>
  <c r="AR162" i="16"/>
  <c r="AR168" i="16"/>
  <c r="AR178" i="16"/>
  <c r="Z97" i="16"/>
  <c r="Z138" i="16"/>
  <c r="Z149" i="16"/>
  <c r="Z98" i="16"/>
  <c r="Z155" i="16"/>
  <c r="Z122" i="16"/>
  <c r="Z150" i="16"/>
  <c r="Z132" i="16"/>
  <c r="Z94" i="16"/>
  <c r="Z39" i="16"/>
  <c r="Z19" i="16"/>
  <c r="Z74" i="16"/>
  <c r="Z51" i="16"/>
  <c r="Z58" i="16"/>
  <c r="Z60" i="16"/>
  <c r="Z73" i="16"/>
  <c r="Z22" i="16"/>
  <c r="Z38" i="16"/>
  <c r="Z83" i="16"/>
  <c r="Z12" i="16"/>
  <c r="Z25" i="16"/>
  <c r="Z57" i="16"/>
  <c r="Z169" i="16"/>
  <c r="Z171" i="16"/>
  <c r="AK125" i="16"/>
  <c r="AK177" i="16"/>
  <c r="AR96" i="16"/>
  <c r="AR98" i="16"/>
  <c r="AR125" i="16"/>
  <c r="AR135" i="16"/>
  <c r="AR143" i="16"/>
  <c r="AR161" i="16"/>
  <c r="AR74" i="16"/>
  <c r="AR16" i="16"/>
  <c r="AR169" i="16"/>
  <c r="AR177" i="16"/>
  <c r="V88" i="16"/>
  <c r="V93" i="16"/>
  <c r="V96" i="16"/>
  <c r="V99" i="16"/>
  <c r="V97" i="16"/>
  <c r="V105" i="16"/>
  <c r="V112" i="16"/>
  <c r="V117" i="16"/>
  <c r="V125" i="16"/>
  <c r="V127" i="16"/>
  <c r="V131" i="16"/>
  <c r="V134" i="16"/>
  <c r="V137" i="16"/>
  <c r="V145" i="16"/>
  <c r="V158" i="16"/>
  <c r="V159" i="16"/>
  <c r="V15" i="16"/>
  <c r="V27" i="16"/>
  <c r="V11" i="16"/>
  <c r="V29" i="16"/>
  <c r="V80" i="16"/>
  <c r="V58" i="16"/>
  <c r="V12" i="16"/>
  <c r="V48" i="16"/>
  <c r="V55" i="16"/>
  <c r="V28" i="16"/>
  <c r="V67" i="16"/>
  <c r="V66" i="16"/>
  <c r="V42" i="16"/>
  <c r="V26" i="16"/>
  <c r="V62" i="16"/>
  <c r="V61" i="16"/>
  <c r="AK88" i="16"/>
  <c r="AK113" i="16"/>
  <c r="AK137" i="16"/>
  <c r="AK158" i="16"/>
  <c r="AK67" i="16"/>
  <c r="AK180" i="16"/>
  <c r="AR101" i="16"/>
  <c r="AR113" i="16"/>
  <c r="AR137" i="16"/>
  <c r="AR158" i="16"/>
  <c r="AR163" i="16"/>
  <c r="AR75" i="16"/>
  <c r="AR167" i="16"/>
  <c r="AR176" i="16"/>
  <c r="AR180" i="16"/>
  <c r="Z99" i="16"/>
  <c r="Z137" i="16"/>
  <c r="Z96" i="16"/>
  <c r="Z159" i="16"/>
  <c r="Z105" i="16"/>
  <c r="Z147" i="16"/>
  <c r="Z125" i="16"/>
  <c r="Z88" i="16"/>
  <c r="Z134" i="16"/>
  <c r="Z32" i="16"/>
  <c r="Z29" i="16"/>
  <c r="Z21" i="16"/>
  <c r="Z15" i="16"/>
  <c r="Z66" i="16"/>
  <c r="Z80" i="16"/>
  <c r="Z55" i="16"/>
  <c r="Z33" i="16"/>
  <c r="Z26" i="16"/>
  <c r="Z67" i="16"/>
  <c r="Z27" i="16"/>
  <c r="Z28" i="16"/>
  <c r="Z163" i="16"/>
  <c r="Z48" i="16"/>
  <c r="Z14" i="16"/>
  <c r="AK94" i="16"/>
  <c r="AK108" i="16"/>
  <c r="AK147" i="16"/>
  <c r="AK152" i="16"/>
  <c r="AK173" i="16"/>
  <c r="AK179" i="16"/>
  <c r="AR94" i="16"/>
  <c r="AR108" i="16"/>
  <c r="AR115" i="16"/>
  <c r="AR117" i="16"/>
  <c r="AR127" i="16"/>
  <c r="AR146" i="16"/>
  <c r="AR147" i="16"/>
  <c r="AR148" i="16"/>
  <c r="AR152" i="16"/>
  <c r="AR12" i="16"/>
  <c r="AR73" i="16"/>
  <c r="AR79" i="16"/>
  <c r="AR29" i="16"/>
  <c r="AR67" i="16"/>
  <c r="AR66" i="16"/>
  <c r="AR171" i="16"/>
  <c r="AR173" i="16"/>
  <c r="AR179" i="16"/>
  <c r="Z108" i="16"/>
  <c r="Z146" i="16"/>
  <c r="Z106" i="16"/>
  <c r="Z141" i="16"/>
  <c r="Z116" i="16"/>
  <c r="Z142" i="16"/>
  <c r="Z152" i="16"/>
  <c r="Z128" i="16"/>
  <c r="Z123" i="16"/>
  <c r="Z135" i="16"/>
  <c r="Z110" i="16"/>
  <c r="Z126" i="16"/>
  <c r="Z140" i="16"/>
  <c r="Z109" i="16"/>
  <c r="Z124" i="16"/>
  <c r="Z101" i="16"/>
  <c r="Z56" i="16"/>
  <c r="Z114" i="16"/>
  <c r="Z82" i="16"/>
  <c r="Z16" i="16"/>
  <c r="Z31" i="16"/>
  <c r="Z71" i="16"/>
  <c r="Z162" i="16"/>
  <c r="Z77" i="16"/>
  <c r="Z64" i="16"/>
  <c r="Z49" i="16"/>
  <c r="Z85" i="16"/>
  <c r="Z168" i="16"/>
  <c r="Z173" i="16"/>
  <c r="Z170" i="16"/>
  <c r="Z177" i="16"/>
  <c r="Z178" i="16"/>
  <c r="Z180" i="16"/>
  <c r="Z179" i="16"/>
  <c r="Z182" i="16"/>
  <c r="Z184" i="16"/>
  <c r="Z181" i="16"/>
  <c r="AK100" i="16"/>
  <c r="AK102" i="16"/>
  <c r="AK15" i="16"/>
  <c r="AK40" i="16"/>
  <c r="AK50" i="16"/>
  <c r="AK13" i="16"/>
  <c r="AK69" i="16"/>
  <c r="AR86" i="16"/>
  <c r="AR88" i="16"/>
  <c r="AR91" i="16"/>
  <c r="AR92" i="16"/>
  <c r="AR95" i="16"/>
  <c r="AR100" i="16"/>
  <c r="AR102" i="16"/>
  <c r="AR103" i="16"/>
  <c r="AR107" i="16"/>
  <c r="AR126" i="16"/>
  <c r="AR128" i="16"/>
  <c r="AR145" i="16"/>
  <c r="AR149" i="16"/>
  <c r="AR55" i="16"/>
  <c r="AR80" i="16"/>
  <c r="AR61" i="16"/>
  <c r="AR76" i="16"/>
  <c r="AR62" i="16"/>
  <c r="AR57" i="16"/>
  <c r="AR41" i="16"/>
  <c r="AR28" i="16"/>
  <c r="AR50" i="16"/>
  <c r="AR36" i="16"/>
  <c r="AR26" i="16"/>
  <c r="AR45" i="16"/>
  <c r="AR22" i="16"/>
  <c r="AR59" i="16"/>
  <c r="AR64" i="16"/>
  <c r="AR42" i="16"/>
  <c r="AR83" i="16"/>
  <c r="AR43" i="16"/>
  <c r="AR39" i="16"/>
  <c r="AR40" i="16"/>
  <c r="AR37" i="16"/>
  <c r="AR72" i="16"/>
  <c r="AR47" i="16"/>
  <c r="AR18" i="16"/>
  <c r="AR52" i="16"/>
  <c r="AR81" i="16"/>
  <c r="AR54" i="16"/>
  <c r="AR44" i="16"/>
  <c r="AR11" i="16"/>
  <c r="AR48" i="16"/>
  <c r="AR13" i="16"/>
  <c r="AR33" i="16"/>
  <c r="AR15" i="16"/>
  <c r="AR35" i="16"/>
  <c r="AR69" i="16"/>
  <c r="AR31" i="16"/>
  <c r="AR51" i="16"/>
  <c r="AR175" i="16"/>
  <c r="V89" i="16"/>
  <c r="V101" i="16"/>
  <c r="V102" i="16"/>
  <c r="V106" i="16"/>
  <c r="V108" i="16"/>
  <c r="V109" i="16"/>
  <c r="V110" i="16"/>
  <c r="V118" i="16"/>
  <c r="V120" i="16"/>
  <c r="V119" i="16"/>
  <c r="V123" i="16"/>
  <c r="V121" i="16"/>
  <c r="V124" i="16"/>
  <c r="V126" i="16"/>
  <c r="V128" i="16"/>
  <c r="V130" i="16"/>
  <c r="V135" i="16"/>
  <c r="V136" i="16"/>
  <c r="V141" i="16"/>
  <c r="V142" i="16"/>
  <c r="V146" i="16"/>
  <c r="V150" i="16"/>
  <c r="V152" i="16"/>
  <c r="V160" i="16"/>
  <c r="V163" i="16"/>
  <c r="V162" i="16"/>
  <c r="V33" i="16"/>
  <c r="V165" i="16"/>
  <c r="V49" i="16"/>
  <c r="V75" i="16"/>
  <c r="V77" i="16"/>
  <c r="V45" i="16"/>
  <c r="V85" i="16"/>
  <c r="V64" i="16"/>
  <c r="V44" i="16"/>
  <c r="V71" i="16"/>
  <c r="V34" i="16"/>
  <c r="V82" i="16"/>
  <c r="V16" i="16"/>
  <c r="V56" i="16"/>
  <c r="V166" i="16"/>
  <c r="V169" i="16"/>
  <c r="V168" i="16"/>
  <c r="V170" i="16"/>
  <c r="V173" i="16"/>
  <c r="V175" i="16"/>
  <c r="V177" i="16"/>
  <c r="V179" i="16"/>
  <c r="V180" i="16"/>
  <c r="V181" i="16"/>
  <c r="V182" i="16"/>
  <c r="V184" i="16"/>
  <c r="AK114" i="16"/>
  <c r="AK131" i="16"/>
  <c r="AK132" i="16"/>
  <c r="AK155" i="16"/>
  <c r="AK157" i="16"/>
  <c r="AK160" i="16"/>
  <c r="AK53" i="16"/>
  <c r="AK82" i="16"/>
  <c r="AK19" i="16"/>
  <c r="AK30" i="16"/>
  <c r="AK172" i="16"/>
  <c r="AK183" i="16"/>
  <c r="AR90" i="16"/>
  <c r="AR93" i="16"/>
  <c r="AR109" i="16"/>
  <c r="AR114" i="16"/>
  <c r="AR116" i="16"/>
  <c r="AR120" i="16"/>
  <c r="AR123" i="16"/>
  <c r="AR129" i="16"/>
  <c r="AR131" i="16"/>
  <c r="AR132" i="16"/>
  <c r="AR139" i="16"/>
  <c r="AR140" i="16"/>
  <c r="AR151" i="16"/>
  <c r="AR155" i="16"/>
  <c r="AR157" i="16"/>
  <c r="AR160" i="16"/>
  <c r="AR30" i="16"/>
  <c r="AR82" i="16"/>
  <c r="AR84" i="16"/>
  <c r="AR27" i="16"/>
  <c r="AR68" i="16"/>
  <c r="AR63" i="16"/>
  <c r="AR85" i="16"/>
  <c r="AR38" i="16"/>
  <c r="AR53" i="16"/>
  <c r="AR19" i="16"/>
  <c r="AR60" i="16"/>
  <c r="AR78" i="16"/>
  <c r="AR70" i="16"/>
  <c r="AR17" i="16"/>
  <c r="AR165" i="16"/>
  <c r="AR166" i="16"/>
  <c r="AR172" i="16"/>
  <c r="AR174" i="16"/>
  <c r="AR182" i="16"/>
  <c r="AR183" i="16"/>
  <c r="Z343" i="16"/>
  <c r="Z118" i="16"/>
  <c r="Z121" i="16"/>
  <c r="Z103" i="16"/>
  <c r="Z112" i="16"/>
  <c r="Z133" i="16"/>
  <c r="Z117" i="16"/>
  <c r="Z145" i="16"/>
  <c r="Z154" i="16"/>
  <c r="Z100" i="16"/>
  <c r="Z130" i="16"/>
  <c r="Z119" i="16"/>
  <c r="Z158" i="16"/>
  <c r="Z120" i="16"/>
  <c r="Z102" i="16"/>
  <c r="Z89" i="16"/>
  <c r="Z160" i="16"/>
  <c r="Z144" i="16"/>
  <c r="Z113" i="16"/>
  <c r="Z35" i="16"/>
  <c r="Z23" i="16"/>
  <c r="Q38" i="8" s="1"/>
  <c r="Y9" i="16"/>
  <c r="L38" i="8" s="1"/>
  <c r="E51" i="8" s="1"/>
  <c r="Z44" i="16"/>
  <c r="Z53" i="16"/>
  <c r="Z34" i="16"/>
  <c r="Z166" i="16"/>
  <c r="Z72" i="16"/>
  <c r="Z165" i="16"/>
  <c r="Z167" i="16"/>
  <c r="Z174" i="16"/>
  <c r="Z175" i="16"/>
  <c r="V343" i="16"/>
  <c r="V18" i="16"/>
  <c r="V19" i="16"/>
  <c r="U9" i="16"/>
  <c r="V23" i="16"/>
  <c r="V24" i="16"/>
  <c r="V21" i="16"/>
  <c r="V20" i="16"/>
  <c r="V17" i="16"/>
  <c r="V13" i="16"/>
  <c r="V32" i="16"/>
  <c r="V14" i="16"/>
  <c r="AK23" i="16"/>
  <c r="AJ9" i="16"/>
  <c r="P10" i="16"/>
  <c r="Q7" i="16"/>
  <c r="O10" i="16"/>
  <c r="Q10" i="16"/>
  <c r="P7" i="16"/>
  <c r="K37" i="8"/>
  <c r="E49" i="8"/>
  <c r="AR32" i="16"/>
  <c r="AR23" i="16"/>
  <c r="AQ9" i="16"/>
  <c r="AK343" i="16"/>
  <c r="AL12" i="16"/>
  <c r="AB343" i="16"/>
  <c r="G119" i="8"/>
  <c r="G120" i="8"/>
  <c r="G121" i="8"/>
  <c r="Q8" i="16"/>
  <c r="U75" i="8"/>
  <c r="U78" i="8"/>
  <c r="U83" i="8"/>
  <c r="U85" i="8"/>
  <c r="U82" i="8"/>
  <c r="U76" i="8"/>
  <c r="U80" i="8"/>
  <c r="U79" i="8"/>
  <c r="U77" i="8"/>
  <c r="U84" i="8"/>
  <c r="U81" i="8"/>
  <c r="U74" i="8"/>
  <c r="U71" i="8"/>
  <c r="U67" i="8"/>
  <c r="U72" i="8"/>
  <c r="U68" i="8"/>
  <c r="U69" i="8"/>
  <c r="U73" i="8"/>
  <c r="U70" i="8"/>
  <c r="AR343" i="16"/>
  <c r="AS12" i="16"/>
  <c r="B93" i="8" s="1"/>
  <c r="AC45" i="16" l="1"/>
  <c r="AC63" i="16"/>
  <c r="AC59" i="16"/>
  <c r="AC52" i="16"/>
  <c r="K38" i="8"/>
  <c r="V38" i="8"/>
  <c r="AC20" i="16"/>
  <c r="AC30" i="16"/>
  <c r="AC40" i="16"/>
  <c r="AC37" i="16"/>
  <c r="AC36" i="16"/>
  <c r="AC41" i="16"/>
  <c r="O343" i="16"/>
  <c r="AC94" i="16"/>
  <c r="AC97" i="16"/>
  <c r="AC98" i="16"/>
  <c r="AC122" i="16"/>
  <c r="AC132" i="16"/>
  <c r="AC138" i="16"/>
  <c r="AC149" i="16"/>
  <c r="AC150" i="16"/>
  <c r="AC155" i="16"/>
  <c r="AC83" i="16"/>
  <c r="AC60" i="16"/>
  <c r="AC39" i="16"/>
  <c r="AC51" i="16"/>
  <c r="AC73" i="16"/>
  <c r="AC22" i="16"/>
  <c r="AC38" i="16"/>
  <c r="AC12" i="16"/>
  <c r="AC74" i="16"/>
  <c r="AC25" i="16"/>
  <c r="AC57" i="16"/>
  <c r="AC58" i="16"/>
  <c r="AC169" i="16"/>
  <c r="AC171" i="16"/>
  <c r="AM11" i="16"/>
  <c r="AN11" i="16" s="1"/>
  <c r="AC88" i="16"/>
  <c r="AC93" i="16"/>
  <c r="AC95" i="16"/>
  <c r="AC96" i="16"/>
  <c r="AC99" i="16"/>
  <c r="AC105" i="16"/>
  <c r="AC107" i="16"/>
  <c r="AC125" i="16"/>
  <c r="AC127" i="16"/>
  <c r="AC131" i="16"/>
  <c r="AC134" i="16"/>
  <c r="AC137" i="16"/>
  <c r="AC136" i="16"/>
  <c r="AC147" i="16"/>
  <c r="AC159" i="16"/>
  <c r="AC163" i="16"/>
  <c r="AC13" i="16"/>
  <c r="AC21" i="16"/>
  <c r="AC26" i="16"/>
  <c r="AC61" i="16"/>
  <c r="AC66" i="16"/>
  <c r="AC29" i="16"/>
  <c r="AC55" i="16"/>
  <c r="AC68" i="16"/>
  <c r="AC11" i="16"/>
  <c r="AC33" i="16"/>
  <c r="AC75" i="16"/>
  <c r="AC48" i="16"/>
  <c r="AC70" i="16"/>
  <c r="AC27" i="16"/>
  <c r="AC42" i="16"/>
  <c r="AC47" i="16"/>
  <c r="AC15" i="16"/>
  <c r="AC80" i="16"/>
  <c r="AC67" i="16"/>
  <c r="AC28" i="16"/>
  <c r="AC32" i="16"/>
  <c r="AC46" i="16"/>
  <c r="AC62" i="16"/>
  <c r="AC183" i="16"/>
  <c r="L39" i="8"/>
  <c r="U108" i="8" s="1"/>
  <c r="V39" i="8"/>
  <c r="AC89" i="16"/>
  <c r="AC100" i="16"/>
  <c r="AC102" i="16"/>
  <c r="AC101" i="16"/>
  <c r="AC103" i="16"/>
  <c r="AC106" i="16"/>
  <c r="AC108" i="16"/>
  <c r="AC110" i="16"/>
  <c r="AC109" i="16"/>
  <c r="AC113" i="16"/>
  <c r="AC112" i="16"/>
  <c r="AC114" i="16"/>
  <c r="AC117" i="16"/>
  <c r="AC116" i="16"/>
  <c r="AC119" i="16"/>
  <c r="AC118" i="16"/>
  <c r="AC121" i="16"/>
  <c r="AC120" i="16"/>
  <c r="AC123" i="16"/>
  <c r="AC124" i="16"/>
  <c r="AC126" i="16"/>
  <c r="AC128" i="16"/>
  <c r="AC130" i="16"/>
  <c r="AC133" i="16"/>
  <c r="AC135" i="16"/>
  <c r="AC141" i="16"/>
  <c r="AC142" i="16"/>
  <c r="AC140" i="16"/>
  <c r="AC144" i="16"/>
  <c r="AC146" i="16"/>
  <c r="AC145" i="16"/>
  <c r="AC152" i="16"/>
  <c r="AC154" i="16"/>
  <c r="AC158" i="16"/>
  <c r="AC64" i="16"/>
  <c r="AC53" i="16"/>
  <c r="AC160" i="16"/>
  <c r="AC71" i="16"/>
  <c r="AC82" i="16"/>
  <c r="AC85" i="16"/>
  <c r="AC56" i="16"/>
  <c r="AC77" i="16"/>
  <c r="AC35" i="16"/>
  <c r="AC34" i="16"/>
  <c r="AC72" i="16"/>
  <c r="AC165" i="16"/>
  <c r="AC49" i="16"/>
  <c r="AC166" i="16"/>
  <c r="AC162" i="16"/>
  <c r="AC167" i="16"/>
  <c r="AC44" i="16"/>
  <c r="AC168" i="16"/>
  <c r="AC170" i="16"/>
  <c r="AC173" i="16"/>
  <c r="AC174" i="16"/>
  <c r="AC175" i="16"/>
  <c r="AC177" i="16"/>
  <c r="AC178" i="16"/>
  <c r="AC181" i="16"/>
  <c r="AC179" i="16"/>
  <c r="AC180" i="16"/>
  <c r="AC184" i="16"/>
  <c r="AC182" i="16"/>
  <c r="P343" i="16"/>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E92" i="8" s="1"/>
  <c r="Q39" i="8"/>
  <c r="K39" i="8" s="1"/>
  <c r="AL13" i="16"/>
  <c r="AM12" i="16"/>
  <c r="AN12" i="16" s="1"/>
  <c r="AT12" i="16"/>
  <c r="AU12" i="16" s="1"/>
  <c r="U93" i="8" s="1"/>
  <c r="AS13" i="16"/>
  <c r="B94" i="8" s="1"/>
  <c r="E50" i="8" l="1"/>
  <c r="E93" i="8"/>
  <c r="Y93" i="8" s="1"/>
  <c r="K48" i="8"/>
  <c r="K50" i="8"/>
  <c r="K51" i="8"/>
  <c r="K49" i="8"/>
  <c r="O48" i="8"/>
  <c r="O50" i="8"/>
  <c r="O51" i="8"/>
  <c r="O49" i="8"/>
  <c r="M51" i="8"/>
  <c r="M49" i="8"/>
  <c r="M50" i="8"/>
  <c r="M48" i="8"/>
  <c r="AS14" i="16"/>
  <c r="B95" i="8" s="1"/>
  <c r="AT13" i="16"/>
  <c r="AU13" i="16" s="1"/>
  <c r="U94" i="8" s="1"/>
  <c r="AL14" i="16"/>
  <c r="AM13" i="16"/>
  <c r="AN13" i="16" s="1"/>
  <c r="Y92" i="8"/>
  <c r="AU11" i="16"/>
  <c r="U92" i="8" s="1"/>
  <c r="E94" i="8" l="1"/>
  <c r="Y94" i="8" s="1"/>
  <c r="Q121" i="8"/>
  <c r="Q120" i="8"/>
  <c r="Q118" i="8"/>
  <c r="Q119" i="8"/>
  <c r="O121" i="8"/>
  <c r="O119" i="8"/>
  <c r="O118" i="8"/>
  <c r="O120" i="8"/>
  <c r="M120" i="8"/>
  <c r="M121" i="8"/>
  <c r="M118" i="8"/>
  <c r="M119" i="8"/>
  <c r="AL15" i="16"/>
  <c r="AM14" i="16"/>
  <c r="AN14" i="16" s="1"/>
  <c r="AS15" i="16"/>
  <c r="B96" i="8" s="1"/>
  <c r="AT14" i="16"/>
  <c r="AU14" i="16" s="1"/>
  <c r="U95" i="8" s="1"/>
  <c r="E95" i="8" l="1"/>
  <c r="Y95" i="8" s="1"/>
  <c r="AT15" i="16"/>
  <c r="AU15" i="16" s="1"/>
  <c r="U96" i="8" s="1"/>
  <c r="AS16" i="16"/>
  <c r="B97" i="8" s="1"/>
  <c r="AL16" i="16"/>
  <c r="AM15" i="16"/>
  <c r="AN15" i="16" s="1"/>
  <c r="E96" i="8" l="1"/>
  <c r="Y96" i="8" s="1"/>
  <c r="AL17" i="16"/>
  <c r="AM16" i="16"/>
  <c r="AN16" i="16" s="1"/>
  <c r="AS17" i="16"/>
  <c r="B98" i="8" s="1"/>
  <c r="AT16" i="16"/>
  <c r="AU16" i="16" s="1"/>
  <c r="U97" i="8" s="1"/>
  <c r="E97" i="8" l="1"/>
  <c r="Y97" i="8" s="1"/>
  <c r="AT17" i="16"/>
  <c r="AU17" i="16" s="1"/>
  <c r="U98" i="8" s="1"/>
  <c r="AS18" i="16"/>
  <c r="B99" i="8" s="1"/>
  <c r="AL18" i="16"/>
  <c r="AM17" i="16"/>
  <c r="AN17" i="16" s="1"/>
  <c r="E98" i="8" l="1"/>
  <c r="Y98" i="8" s="1"/>
  <c r="AL19" i="16"/>
  <c r="AM18" i="16"/>
  <c r="AN18" i="16" s="1"/>
  <c r="AT18" i="16"/>
  <c r="AU18" i="16" s="1"/>
  <c r="U99" i="8" s="1"/>
  <c r="AS19" i="16"/>
  <c r="B100" i="8" s="1"/>
  <c r="E99" i="8" l="1"/>
  <c r="Y99" i="8" s="1"/>
  <c r="AT19" i="16"/>
  <c r="AU19" i="16" s="1"/>
  <c r="U100" i="8" s="1"/>
  <c r="AS20" i="16"/>
  <c r="B101" i="8" s="1"/>
  <c r="AL20" i="16"/>
  <c r="AM19" i="16"/>
  <c r="AN19" i="16" s="1"/>
  <c r="E100" i="8" l="1"/>
  <c r="Y100" i="8" s="1"/>
  <c r="AL21" i="16"/>
  <c r="AM20" i="16"/>
  <c r="AN20" i="16" s="1"/>
  <c r="AS21" i="16"/>
  <c r="B102" i="8" s="1"/>
  <c r="AT20" i="16"/>
  <c r="AU20" i="16" s="1"/>
  <c r="U101" i="8" s="1"/>
  <c r="E101" i="8" l="1"/>
  <c r="Y101" i="8" s="1"/>
  <c r="AT21" i="16"/>
  <c r="AU21" i="16" s="1"/>
  <c r="U102" i="8" s="1"/>
  <c r="AS22" i="16"/>
  <c r="B103" i="8" s="1"/>
  <c r="AL22" i="16"/>
  <c r="AM21" i="16"/>
  <c r="AN21" i="16" s="1"/>
  <c r="E102" i="8" l="1"/>
  <c r="Y102" i="8" s="1"/>
  <c r="E103" i="8"/>
  <c r="Y103" i="8" s="1"/>
  <c r="U103" i="8"/>
  <c r="AT22" i="16"/>
  <c r="AU22" i="16" s="1"/>
  <c r="AS23" i="16"/>
  <c r="B104" i="8" s="1"/>
  <c r="AL23" i="16"/>
  <c r="AM22" i="16"/>
  <c r="AN22" i="16" s="1"/>
  <c r="E104" i="8" l="1"/>
  <c r="Y104" i="8" s="1"/>
  <c r="U104" i="8"/>
  <c r="AL24" i="16"/>
  <c r="AM23" i="16"/>
  <c r="AN23" i="16" s="1"/>
  <c r="AT23" i="16"/>
  <c r="AU23" i="16" s="1"/>
  <c r="AS24" i="16"/>
  <c r="B105" i="8" s="1"/>
  <c r="E105" i="8" l="1"/>
  <c r="Y105" i="8" s="1"/>
  <c r="U105" i="8"/>
  <c r="AT24" i="16"/>
  <c r="AU24" i="16" s="1"/>
  <c r="AS25" i="16"/>
  <c r="B106" i="8" s="1"/>
  <c r="AL25" i="16"/>
  <c r="AM24" i="16"/>
  <c r="AN24" i="16" s="1"/>
  <c r="U106" i="8" l="1"/>
  <c r="E106" i="8"/>
  <c r="Y106" i="8" s="1"/>
  <c r="AL26" i="16"/>
  <c r="AM25" i="16"/>
  <c r="AN25" i="16" s="1"/>
  <c r="AT25" i="16"/>
  <c r="AU25" i="16" s="1"/>
  <c r="AS26" i="16"/>
  <c r="B107" i="8" s="1"/>
  <c r="U107" i="8" l="1"/>
  <c r="E107" i="8"/>
  <c r="Y107" i="8" s="1"/>
  <c r="AS27" i="16"/>
  <c r="AT26" i="16"/>
  <c r="AU26" i="16" s="1"/>
  <c r="AL27" i="16"/>
  <c r="AM26" i="16"/>
  <c r="AN26" i="16" s="1"/>
  <c r="AL28" i="16" l="1"/>
  <c r="AM27" i="16"/>
  <c r="AN27" i="16" s="1"/>
  <c r="AS28" i="16"/>
  <c r="AT27" i="16"/>
  <c r="AU27" i="16" s="1"/>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<sst xmlns="http://schemas.openxmlformats.org/spreadsheetml/2006/main" count="9640" uniqueCount="913">
  <si>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</si>
  <si>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</si>
  <si>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</si>
  <si>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</si>
  <si>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</si>
  <si>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</si>
  <si>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</si>
  <si>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</si>
  <si>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</si>
  <si>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</si>
  <si>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</si>
  <si>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</si>
  <si>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</si>
  <si>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</si>
  <si>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</si>
  <si>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</si>
  <si>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</si>
  <si>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</si>
  <si>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</si>
  <si>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</si>
  <si>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</si>
  <si>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</si>
  <si>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</si>
  <si>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</si>
  <si>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</si>
  <si>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</si>
  <si>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</si>
  <si>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</si>
  <si>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</si>
  <si>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</si>
  <si>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</si>
  <si>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</si>
  <si>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</si>
  <si>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</si>
  <si>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</si>
  <si>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</si>
  <si>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</si>
  <si>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</si>
  <si>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</si>
  <si>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</si>
  <si>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</si>
  <si>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</si>
  <si>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</si>
  <si>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</si>
  <si>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</si>
  <si>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</si>
  <si>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</si>
  <si>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</si>
  <si>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</si>
  <si>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</si>
  <si>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</si>
  <si>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</si>
  <si>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</si>
  <si>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</si>
  <si>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</si>
  <si>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</si>
  <si>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</si>
  <si>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</si>
  <si>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</si>
  <si>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</si>
  <si>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</si>
  <si>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</si>
  <si>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</si>
  <si>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</si>
  <si>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</si>
  <si>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</si>
  <si>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</si>
  <si>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</si>
  <si>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</si>
  <si>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</si>
  <si>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</si>
  <si>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</si>
  <si>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</si>
  <si>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</si>
  <si>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</si>
  <si>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</si>
  <si>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</si>
  <si>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</si>
  <si>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</si>
  <si>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</si>
  <si>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</si>
  <si>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</si>
  <si>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</si>
  <si>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</si>
  <si>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</si>
  <si>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</si>
  <si>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</si>
  <si>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</si>
  <si>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</si>
  <si>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</si>
  <si>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</si>
  <si>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</si>
  <si>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</si>
  <si>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</si>
  <si>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</si>
  <si>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</si>
  <si>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</si>
  <si>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</si>
  <si>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</si>
  <si>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</si>
  <si>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</si>
  <si>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</si>
  <si>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</si>
  <si>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</si>
  <si>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</si>
  <si>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</si>
  <si>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</si>
  <si>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</si>
  <si>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</si>
  <si>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</si>
  <si>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</si>
  <si>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</si>
  <si>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</si>
  <si>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</si>
  <si>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</si>
  <si>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</si>
  <si>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</si>
  <si>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</si>
  <si>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</si>
  <si>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</si>
  <si>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</si>
  <si>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</si>
  <si>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</si>
  <si>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</si>
  <si>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</si>
  <si>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</si>
  <si>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</si>
  <si>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</si>
  <si>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</si>
  <si>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</si>
  <si>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</si>
  <si>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</si>
  <si>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</si>
  <si>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</si>
  <si>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</si>
  <si>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</si>
  <si>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</si>
  <si>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</si>
  <si>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</si>
  <si>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</si>
  <si>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</si>
  <si>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</si>
  <si>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</si>
  <si>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</si>
  <si>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</si>
  <si>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</si>
  <si>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</si>
  <si>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</si>
  <si>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</si>
  <si>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</si>
  <si>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</si>
  <si>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</si>
  <si>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</si>
  <si>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</si>
  <si>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</si>
  <si>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</si>
  <si>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</si>
  <si>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</si>
  <si>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</si>
  <si>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</si>
  <si>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</si>
  <si>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</si>
  <si>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</si>
  <si>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</si>
  <si>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</si>
  <si>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</si>
  <si>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</si>
  <si>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</si>
  <si>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</si>
  <si>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</si>
  <si>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</si>
  <si>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</si>
  <si>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</si>
  <si>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</si>
  <si>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</si>
  <si>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</si>
  <si>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</si>
  <si>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</si>
  <si>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</si>
  <si>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</si>
  <si>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</si>
  <si>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</si>
  <si>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</si>
  <si>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</si>
  <si>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</si>
  <si>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</si>
  <si>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</si>
  <si>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</si>
  <si>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</si>
  <si>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</si>
  <si>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</si>
  <si>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</si>
  <si>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</si>
  <si>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</si>
  <si>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</si>
  <si>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</si>
  <si>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</si>
  <si>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</si>
  <si>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</si>
  <si>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</si>
  <si>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</si>
  <si>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</si>
  <si>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</si>
  <si>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</si>
  <si>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</si>
  <si>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</si>
  <si>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</si>
  <si>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</si>
  <si>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</si>
  <si>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</si>
  <si>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</si>
  <si>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</si>
  <si>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</si>
  <si>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</si>
  <si>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</si>
  <si>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</si>
  <si>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</si>
  <si>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</si>
  <si>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</si>
  <si>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</si>
  <si>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</si>
  <si>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</si>
  <si>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</si>
  <si>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</si>
  <si>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</si>
  <si>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</si>
  <si>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</si>
  <si>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</si>
  <si>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</si>
  <si>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</si>
  <si>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</si>
  <si>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</si>
  <si>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</si>
  <si>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</si>
  <si>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</si>
  <si>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</si>
  <si>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</si>
  <si>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</si>
  <si>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</si>
  <si>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</si>
  <si>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</si>
  <si>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</si>
  <si>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</si>
  <si>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</si>
  <si>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</si>
  <si>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</si>
  <si>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</si>
  <si>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</si>
  <si>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</si>
  <si>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</si>
  <si>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</si>
  <si>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</si>
  <si>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</si>
  <si>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</si>
  <si>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</si>
  <si>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</si>
  <si>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</si>
  <si>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</si>
  <si>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</si>
  <si>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</si>
  <si>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</si>
  <si>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</si>
  <si>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</si>
  <si>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</si>
  <si>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</si>
  <si>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</si>
  <si>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</si>
  <si>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</si>
  <si>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</si>
  <si>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</si>
  <si>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</si>
  <si>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</si>
  <si>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</si>
  <si>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</si>
  <si>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</si>
  <si>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</si>
  <si>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</si>
  <si>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</si>
  <si>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</si>
  <si>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</si>
  <si>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</si>
  <si>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</si>
  <si>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</si>
  <si>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</si>
  <si>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</si>
  <si>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</si>
  <si>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</si>
  <si>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</si>
  <si>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</si>
  <si>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</si>
  <si>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</si>
  <si>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</si>
  <si>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</si>
  <si>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</si>
  <si>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</si>
  <si>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</si>
  <si>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</si>
  <si>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</si>
  <si>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</si>
  <si>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</si>
  <si>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</si>
  <si>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</si>
  <si>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</si>
  <si>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</si>
  <si>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</si>
  <si>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</si>
  <si>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</si>
  <si>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</si>
  <si>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</si>
  <si>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</si>
  <si>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</si>
  <si>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</si>
  <si>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</si>
  <si>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</si>
  <si>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</si>
  <si>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</si>
  <si>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</si>
  <si>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</si>
  <si>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</si>
  <si>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</si>
  <si>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</si>
  <si>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</si>
  <si>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</si>
  <si>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</si>
  <si>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</si>
  <si>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</si>
  <si>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</si>
  <si>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</si>
  <si>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</si>
  <si>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</si>
  <si>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</si>
  <si>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</si>
  <si>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</si>
  <si>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</si>
  <si>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</si>
  <si>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</si>
  <si>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</si>
  <si>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</si>
  <si>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</si>
  <si>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</si>
  <si>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</si>
  <si>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</si>
  <si>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</si>
  <si>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</si>
  <si>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</si>
  <si>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</si>
  <si>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</si>
  <si>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</si>
  <si>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</si>
  <si>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</si>
  <si>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</si>
  <si>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</si>
  <si>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</si>
  <si>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</si>
  <si>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</si>
  <si>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</si>
  <si>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</si>
  <si>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</si>
  <si>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</si>
  <si>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</si>
  <si>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</si>
  <si>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</si>
  <si>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</si>
  <si>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</si>
  <si>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</si>
  <si>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</si>
  <si>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</si>
  <si>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</si>
  <si>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</si>
  <si>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</si>
  <si>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</si>
  <si>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</si>
  <si>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</si>
  <si>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</si>
  <si>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</si>
  <si>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</si>
  <si>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</si>
  <si>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</si>
  <si>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</si>
  <si>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</si>
  <si>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</si>
  <si>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</si>
  <si>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</si>
  <si>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</si>
  <si>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</si>
  <si>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</si>
  <si>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</si>
  <si>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</si>
  <si>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</si>
  <si>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</si>
  <si>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</si>
  <si>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</si>
  <si>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</si>
  <si>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</si>
  <si>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</si>
  <si>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</si>
  <si>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</si>
  <si>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</si>
  <si>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</si>
  <si>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</si>
  <si>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</si>
  <si>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</si>
  <si>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</si>
  <si>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</si>
  <si>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</si>
  <si>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</si>
  <si>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</si>
  <si>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</si>
  <si>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</si>
  <si>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</si>
  <si>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</si>
  <si>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</si>
  <si>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</si>
  <si>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</si>
  <si>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</si>
  <si>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</si>
  <si>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</si>
  <si>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</si>
  <si>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</si>
  <si>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</si>
  <si>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</si>
  <si>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</si>
  <si>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</si>
  <si>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</si>
  <si>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</si>
  <si>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</si>
  <si>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</si>
  <si>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</si>
  <si>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</si>
  <si>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</si>
  <si>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</si>
  <si>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</si>
  <si>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</si>
  <si>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</si>
  <si>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</si>
  <si>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</si>
  <si>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</si>
  <si>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</si>
  <si>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</si>
  <si>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</si>
  <si>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</si>
  <si>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</si>
  <si>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</si>
  <si>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</si>
  <si>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</si>
  <si>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</si>
  <si>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</si>
  <si>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</si>
  <si>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</si>
  <si>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</si>
  <si>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</si>
  <si>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</si>
  <si>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</si>
  <si>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</si>
  <si>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</si>
  <si>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</si>
  <si>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</si>
  <si>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</si>
  <si>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</si>
  <si>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</si>
  <si>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</si>
  <si>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</si>
  <si>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</si>
  <si>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</si>
  <si>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</si>
  <si>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</si>
  <si>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</si>
  <si>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</si>
  <si>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</si>
  <si>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</si>
  <si>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</si>
  <si>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</si>
  <si>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</si>
  <si>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</si>
  <si>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</si>
  <si>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</si>
  <si>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</si>
  <si>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</si>
  <si>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</si>
  <si>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</si>
  <si>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</si>
  <si>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</si>
  <si>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</si>
  <si>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</si>
  <si>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</si>
  <si>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</si>
  <si>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</si>
  <si>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</si>
  <si>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</si>
  <si>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</si>
  <si>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</si>
  <si>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</si>
  <si>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</si>
  <si>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</si>
  <si>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</si>
  <si>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</si>
  <si>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</si>
  <si>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</si>
  <si>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</si>
  <si>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</si>
  <si>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</si>
  <si>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</si>
  <si>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</si>
  <si>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</si>
  <si>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</si>
  <si>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</si>
  <si>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</si>
  <si>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</si>
  <si>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</si>
  <si>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</si>
  <si>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</si>
  <si>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</si>
  <si>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</si>
  <si>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</si>
  <si>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</si>
  <si>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</si>
  <si>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</si>
  <si>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</si>
  <si>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</si>
  <si>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</si>
  <si>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</si>
  <si>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</si>
  <si>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</si>
  <si>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</si>
  <si>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</si>
  <si>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</si>
  <si>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</si>
  <si>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</si>
  <si>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</si>
  <si>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</si>
  <si>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</si>
  <si>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</si>
  <si>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</si>
  <si>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</si>
  <si>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</si>
  <si>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</si>
  <si>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</si>
  <si>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</si>
  <si>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</si>
  <si>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</si>
  <si>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</si>
  <si>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</si>
  <si>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</si>
  <si>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</si>
  <si>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</si>
  <si>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</si>
  <si>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</si>
  <si>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</si>
  <si>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</si>
  <si>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</si>
  <si>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</si>
  <si>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</si>
  <si>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</si>
  <si>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</si>
  <si>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</si>
  <si>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</si>
  <si>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</si>
  <si>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</si>
  <si>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</si>
  <si>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</si>
  <si>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</si>
  <si>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</si>
  <si>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</si>
  <si>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</si>
  <si>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</si>
  <si>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</si>
  <si>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</si>
  <si>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</si>
  <si>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</si>
  <si>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</si>
  <si>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</si>
  <si>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</si>
  <si>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</si>
  <si>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</si>
  <si>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</si>
  <si>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</si>
  <si>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</si>
  <si>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</si>
  <si>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</si>
  <si>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</si>
  <si>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</si>
  <si>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</si>
  <si>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</si>
  <si>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</si>
  <si>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</si>
  <si>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</si>
  <si>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</si>
  <si>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</si>
  <si>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</si>
  <si>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</si>
  <si>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</si>
  <si>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</si>
  <si>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</si>
  <si>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</si>
  <si>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</si>
  <si>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</si>
  <si>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</si>
  <si>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</si>
  <si>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</si>
  <si>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</si>
  <si>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</si>
  <si>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</si>
  <si>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</si>
  <si>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</si>
  <si>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</si>
  <si>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</si>
  <si>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</si>
  <si>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</si>
  <si>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</si>
  <si>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</si>
  <si>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</si>
  <si>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</si>
  <si>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</si>
  <si>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</si>
  <si>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</si>
  <si>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</si>
  <si>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</si>
  <si>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</si>
  <si>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</si>
  <si>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</si>
  <si>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</si>
  <si>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</si>
  <si>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</si>
  <si>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</si>
  <si>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</si>
  <si>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</si>
  <si>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</si>
  <si>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</si>
  <si>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</si>
  <si>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</si>
  <si>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</si>
  <si>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</si>
  <si>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</si>
  <si>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</si>
  <si>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</si>
  <si>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</si>
  <si>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</si>
  <si>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</si>
  <si>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</si>
  <si>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</si>
  <si>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</si>
  <si>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</si>
  <si>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</si>
  <si>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</si>
  <si>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</si>
  <si>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</si>
  <si>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</si>
  <si>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</si>
  <si>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</si>
  <si>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</si>
  <si>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</si>
  <si>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</si>
  <si>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</si>
  <si>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</si>
  <si>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</si>
  <si>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</si>
  <si>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</si>
  <si>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</si>
  <si>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</si>
  <si>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</si>
  <si>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</si>
  <si>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</si>
  <si>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</si>
  <si>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</si>
  <si>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</si>
  <si>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</si>
  <si>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</si>
  <si>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</si>
  <si>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</si>
  <si>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</si>
  <si>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</si>
  <si>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</si>
  <si>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</si>
  <si>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</si>
  <si>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</si>
  <si>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</si>
  <si>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</si>
  <si>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</si>
  <si>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</si>
  <si>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</si>
  <si>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</si>
  <si>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</si>
  <si>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</si>
  <si>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</si>
  <si>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</si>
  <si>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</si>
  <si>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</si>
  <si>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</si>
  <si>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</si>
  <si>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</si>
  <si>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</si>
  <si>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</si>
  <si>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</si>
  <si>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</si>
  <si>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</si>
  <si>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</si>
  <si>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</si>
  <si>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</si>
  <si>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</si>
  <si>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</si>
  <si>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</si>
  <si>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</si>
  <si>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</si>
  <si>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</si>
  <si>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</si>
  <si>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</si>
  <si>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</si>
  <si>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</si>
  <si>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</si>
  <si>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</si>
  <si>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</si>
  <si>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</si>
  <si>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</si>
  <si>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</si>
  <si>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</si>
  <si>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</si>
  <si>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</si>
  <si>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</si>
  <si>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</si>
  <si>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</si>
  <si>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</si>
  <si>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</si>
  <si>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</si>
  <si>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</si>
  <si>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</si>
  <si>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</si>
  <si>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</si>
  <si>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</si>
  <si>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</si>
  <si>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</si>
  <si>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</si>
  <si>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</si>
  <si>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</si>
  <si>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</si>
  <si>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</si>
  <si>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</si>
  <si>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</si>
  <si>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</si>
  <si>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</si>
  <si>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</si>
  <si>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</si>
  <si>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</si>
  <si>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</si>
  <si>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</si>
  <si>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</si>
  <si>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</si>
  <si>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</si>
  <si>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</si>
  <si>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</si>
  <si>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</si>
  <si>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</si>
  <si>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</si>
  <si>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</si>
  <si>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</si>
  <si>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</si>
  <si>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</si>
  <si>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</si>
  <si>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</si>
  <si>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</si>
  <si>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</si>
  <si>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</si>
  <si>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</si>
  <si>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</si>
  <si>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</si>
  <si>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</si>
  <si>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</si>
  <si>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</si>
  <si>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</si>
  <si>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</si>
  <si>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</si>
  <si>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</si>
  <si>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</si>
  <si>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</si>
  <si>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</si>
  <si>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</si>
  <si>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</si>
  <si>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</si>
  <si>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</si>
  <si>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</si>
  <si>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</si>
  <si>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</si>
  <si>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</si>
  <si>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</si>
  <si>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</si>
  <si>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</si>
  <si>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</si>
  <si>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</si>
  <si>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</si>
  <si>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</si>
  <si>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</si>
  <si>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</si>
  <si>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</si>
  <si>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</si>
  <si>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</si>
  <si>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</si>
  <si>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</si>
  <si>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</si>
  <si>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</si>
  <si>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</si>
  <si>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</si>
  <si>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</si>
  <si>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</si>
  <si>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</si>
  <si>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</si>
  <si>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</si>
  <si>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</si>
  <si>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</si>
  <si>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</si>
  <si>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</si>
  <si>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</si>
  <si>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</si>
  <si>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</si>
  <si>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</si>
  <si>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</si>
  <si>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</si>
  <si>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</si>
  <si>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</si>
  <si>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</si>
  <si>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</si>
  <si>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</si>
  <si>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</si>
  <si>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</si>
  <si>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</si>
  <si>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</si>
  <si>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</si>
  <si>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</si>
  <si>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</si>
  <si>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</si>
  <si>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</si>
  <si>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</si>
  <si>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</si>
  <si>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</si>
  <si>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</si>
  <si>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</si>
  <si>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</si>
  <si>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</si>
  <si>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</si>
  <si>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</si>
  <si>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</si>
  <si>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</si>
  <si>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</si>
  <si>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</si>
  <si>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</si>
  <si>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</si>
  <si>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</si>
  <si>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</si>
  <si>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</si>
  <si>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</si>
  <si>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</si>
  <si>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</si>
  <si>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</si>
  <si>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</si>
  <si>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</si>
  <si>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</si>
  <si>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</si>
  <si>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</si>
  <si>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</si>
  <si>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</si>
  <si>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</si>
  <si>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</si>
  <si>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</si>
  <si>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</si>
  <si>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</si>
  <si>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</si>
  <si>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</si>
  <si>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</si>
  <si>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</si>
  <si>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</si>
  <si>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</si>
  <si>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</si>
  <si>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</si>
  <si>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</si>
  <si>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</si>
  <si>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</si>
  <si>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</si>
  <si>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</si>
  <si>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</si>
  <si>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</si>
  <si>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</si>
  <si>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</si>
  <si>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</si>
  <si>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</si>
  <si>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</si>
  <si>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</si>
  <si>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</si>
  <si>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</si>
  <si>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</si>
  <si>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A</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</si>
  <si>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</si>
  <si>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</si>
  <si>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</si>
  <si>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</si>
  <si>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</si>
  <si>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</si>
  <si>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</si>
  <si>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</si>
  <si>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</si>
  <si>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</si>
  <si>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</si>
  <si>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</si>
  <si>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</si>
  <si>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</si>
  <si>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</si>
  <si>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</si>
  <si>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</si>
  <si>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</si>
  <si>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</si>
  <si>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</si>
  <si>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</si>
  <si>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</si>
  <si>
    <t>2022-23</t>
  </si>
  <si>
    <t>Mid Suffolk &amp; Babergh</t>
  </si>
  <si>
    <t>South Cambridgeshire (with Cambridge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</si>
</sst>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6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4" fillId="0" borderId="0" applyFont="0" applyFill="0" applyBorder="0" applyAlignment="0" applyProtection="0"/>
    <xf numFmtId="0" fontId="27" fillId="0" borderId="0"/>
    <xf numFmtId="0" fontId="27" fillId="0" borderId="0"/>
    <xf numFmtId="9" fontId="17" fillId="0" borderId="0" applyFont="0" applyFill="0" applyBorder="0" applyAlignment="0" applyProtection="0"/>
    <xf numFmtId="0" fontId="32" fillId="0" borderId="0"/>
    <xf numFmtId="0" fontId="10" fillId="0" borderId="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7" borderId="10" applyNumberFormat="0" applyFont="0" applyAlignment="0" applyProtection="0"/>
    <xf numFmtId="0" fontId="9" fillId="7"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44" fillId="0" borderId="0"/>
    <xf numFmtId="44" fontId="44" fillId="0" borderId="0" applyFont="0" applyFill="0" applyBorder="0" applyAlignment="0" applyProtection="0"/>
    <xf numFmtId="168" fontId="10" fillId="0" borderId="0" applyFont="0" applyFill="0" applyBorder="0" applyAlignment="0" applyProtection="0"/>
    <xf numFmtId="0" fontId="51" fillId="24"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3">
    <xf numFmtId="0" fontId="0" fillId="0" borderId="0" xfId="0"/>
    <xf numFmtId="0" fontId="11" fillId="0" borderId="0" xfId="0" applyFont="1"/>
    <xf numFmtId="0" fontId="0" fillId="0" borderId="0" xfId="0" applyAlignment="1">
      <alignment horizontal="center"/>
    </xf>
    <xf numFmtId="0" fontId="0" fillId="0" borderId="0" xfId="0" applyAlignment="1">
      <alignment horizontal="left"/>
    </xf>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5" fillId="0" borderId="0" xfId="0" applyFont="1"/>
    <xf numFmtId="0" fontId="19" fillId="0" borderId="6" xfId="0" applyFont="1" applyBorder="1" applyAlignment="1">
      <alignment horizontal="center"/>
    </xf>
    <xf numFmtId="2" fontId="0" fillId="0" borderId="0" xfId="0" applyNumberFormat="1" applyAlignment="1">
      <alignment horizontal="center"/>
    </xf>
    <xf numFmtId="0" fontId="10" fillId="0" borderId="0" xfId="0" applyFont="1" applyAlignment="1">
      <alignment horizontal="center" vertical="center" textRotation="90"/>
    </xf>
    <xf numFmtId="0" fontId="19" fillId="0" borderId="0" xfId="0" applyFont="1" applyAlignment="1">
      <alignment horizontal="center"/>
    </xf>
    <xf numFmtId="2" fontId="0" fillId="0" borderId="0" xfId="0" applyNumberFormat="1"/>
    <xf numFmtId="0" fontId="10" fillId="0" borderId="0" xfId="0" applyFont="1" applyAlignment="1">
      <alignment horizontal="center"/>
    </xf>
    <xf numFmtId="0" fontId="20" fillId="0" borderId="6" xfId="0" applyFont="1" applyBorder="1" applyAlignment="1">
      <alignment horizontal="center"/>
    </xf>
    <xf numFmtId="0" fontId="21" fillId="0" borderId="0" xfId="0" applyFont="1"/>
    <xf numFmtId="0" fontId="14" fillId="0" borderId="0" xfId="0" applyFont="1" applyAlignment="1">
      <alignment horizontal="left"/>
    </xf>
    <xf numFmtId="0" fontId="0" fillId="0" borderId="7" xfId="0" applyBorder="1"/>
    <xf numFmtId="2" fontId="28" fillId="0" borderId="0" xfId="0" applyNumberFormat="1" applyFont="1"/>
    <xf numFmtId="0" fontId="0" fillId="20" borderId="0" xfId="0" applyFill="1"/>
    <xf numFmtId="0" fontId="31" fillId="0" borderId="0" xfId="0" applyFont="1" applyAlignment="1">
      <alignment wrapText="1"/>
    </xf>
    <xf numFmtId="0" fontId="31" fillId="0" borderId="0" xfId="0" applyFont="1" applyAlignment="1">
      <alignment horizontal="left" wrapText="1"/>
    </xf>
    <xf numFmtId="0" fontId="10" fillId="0" borderId="0" xfId="0" applyFont="1" applyAlignment="1">
      <alignment horizontal="left"/>
    </xf>
    <xf numFmtId="0" fontId="10" fillId="0" borderId="0" xfId="5" applyFont="1" applyAlignment="1">
      <alignment horizontal="center"/>
    </xf>
    <xf numFmtId="0" fontId="33" fillId="0" borderId="0" xfId="0" applyFont="1"/>
    <xf numFmtId="0" fontId="0" fillId="0" borderId="0" xfId="5" applyFont="1" applyAlignment="1">
      <alignment horizontal="center"/>
    </xf>
    <xf numFmtId="0" fontId="29" fillId="0" borderId="0" xfId="0" applyFont="1" applyAlignment="1">
      <alignment horizontal="left"/>
    </xf>
    <xf numFmtId="0" fontId="34" fillId="0" borderId="0" xfId="0" applyFont="1"/>
    <xf numFmtId="0" fontId="29" fillId="0" borderId="0" xfId="0" applyFont="1"/>
    <xf numFmtId="0" fontId="30" fillId="0" borderId="0" xfId="0" applyFont="1"/>
    <xf numFmtId="0" fontId="11"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1" fillId="0" borderId="0" xfId="0" applyFont="1" applyAlignment="1">
      <alignment horizontal="right"/>
    </xf>
    <xf numFmtId="0" fontId="29" fillId="0" borderId="1" xfId="0" applyFont="1" applyBorder="1" applyAlignment="1">
      <alignment horizontal="left"/>
    </xf>
    <xf numFmtId="0" fontId="11"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8" fillId="0" borderId="0" xfId="0" applyFont="1"/>
    <xf numFmtId="0" fontId="29" fillId="0" borderId="0" xfId="0" applyFont="1" applyAlignment="1">
      <alignment horizontal="left" wrapText="1"/>
    </xf>
    <xf numFmtId="1" fontId="0" fillId="0" borderId="1" xfId="0" applyNumberFormat="1" applyBorder="1" applyAlignment="1">
      <alignment horizontal="left"/>
    </xf>
    <xf numFmtId="1" fontId="18" fillId="0" borderId="0" xfId="0" applyNumberFormat="1" applyFont="1" applyAlignment="1">
      <alignment horizontal="left"/>
    </xf>
    <xf numFmtId="0" fontId="11" fillId="0" borderId="3" xfId="0" applyFont="1" applyBorder="1" applyAlignment="1">
      <alignment horizontal="left"/>
    </xf>
    <xf numFmtId="0" fontId="11" fillId="0" borderId="4" xfId="0" applyFont="1" applyBorder="1" applyAlignment="1">
      <alignment horizontal="right"/>
    </xf>
    <xf numFmtId="0" fontId="11" fillId="0" borderId="3" xfId="0" applyFont="1" applyBorder="1"/>
    <xf numFmtId="0" fontId="11" fillId="0" borderId="4" xfId="0" applyFont="1" applyBorder="1" applyAlignment="1">
      <alignment horizontal="left"/>
    </xf>
    <xf numFmtId="0" fontId="0" fillId="21" borderId="0" xfId="0" applyFill="1"/>
    <xf numFmtId="0" fontId="39" fillId="22" borderId="0" xfId="0" applyFont="1" applyFill="1"/>
    <xf numFmtId="0" fontId="38" fillId="0" borderId="0" xfId="0" applyFont="1"/>
    <xf numFmtId="0" fontId="38" fillId="0" borderId="4" xfId="0" applyFont="1" applyBorder="1"/>
    <xf numFmtId="0" fontId="39" fillId="0" borderId="0" xfId="0" applyFont="1"/>
    <xf numFmtId="0" fontId="39" fillId="0" borderId="0" xfId="0" quotePrefix="1" applyFont="1"/>
    <xf numFmtId="0" fontId="39" fillId="0" borderId="9" xfId="0" applyFont="1" applyBorder="1"/>
    <xf numFmtId="0" fontId="0" fillId="22" borderId="1" xfId="0" applyFill="1" applyBorder="1"/>
    <xf numFmtId="0" fontId="11" fillId="22" borderId="0" xfId="0" applyFont="1" applyFill="1" applyAlignment="1">
      <alignment horizontal="right"/>
    </xf>
    <xf numFmtId="0" fontId="0" fillId="22" borderId="8" xfId="0" applyFill="1" applyBorder="1"/>
    <xf numFmtId="0" fontId="11" fillId="22" borderId="0" xfId="0" applyFont="1" applyFill="1" applyAlignment="1">
      <alignment horizontal="left"/>
    </xf>
    <xf numFmtId="0" fontId="29" fillId="22" borderId="1" xfId="0" applyFont="1" applyFill="1" applyBorder="1"/>
    <xf numFmtId="0" fontId="11" fillId="22" borderId="0" xfId="0" applyFont="1" applyFill="1"/>
    <xf numFmtId="0" fontId="0" fillId="21" borderId="11" xfId="0" applyFill="1" applyBorder="1"/>
    <xf numFmtId="10" fontId="0" fillId="0" borderId="0" xfId="0" applyNumberFormat="1"/>
    <xf numFmtId="37" fontId="11" fillId="0" borderId="0" xfId="51" applyFont="1"/>
    <xf numFmtId="37" fontId="10" fillId="0" borderId="0" xfId="51"/>
    <xf numFmtId="37" fontId="0" fillId="0" borderId="0" xfId="51" applyFont="1"/>
    <xf numFmtId="2" fontId="0" fillId="22" borderId="0" xfId="0" applyNumberFormat="1" applyFill="1"/>
    <xf numFmtId="2" fontId="11"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8" fillId="22" borderId="0" xfId="0" applyFont="1" applyFill="1"/>
    <xf numFmtId="0" fontId="18" fillId="22" borderId="0" xfId="0" applyFont="1" applyFill="1" applyAlignment="1">
      <alignment vertical="top"/>
    </xf>
    <xf numFmtId="0" fontId="29" fillId="0" borderId="1" xfId="0" applyFont="1" applyBorder="1" applyAlignment="1">
      <alignment wrapText="1"/>
    </xf>
    <xf numFmtId="0" fontId="29" fillId="0" borderId="0" xfId="0" applyFont="1" applyAlignment="1">
      <alignment wrapText="1"/>
    </xf>
    <xf numFmtId="165" fontId="43" fillId="0" borderId="0" xfId="54" applyNumberFormat="1" applyFont="1" applyFill="1" applyBorder="1" applyAlignment="1">
      <alignment horizontal="right"/>
    </xf>
    <xf numFmtId="0" fontId="0" fillId="22" borderId="0" xfId="4" applyNumberFormat="1" applyFont="1" applyFill="1"/>
    <xf numFmtId="0" fontId="11" fillId="22"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2" fillId="23" borderId="6" xfId="54" applyFont="1" applyFill="1" applyBorder="1"/>
    <xf numFmtId="43" fontId="40" fillId="23" borderId="6" xfId="54" applyFont="1" applyFill="1" applyBorder="1" applyAlignment="1">
      <alignment horizontal="center"/>
    </xf>
    <xf numFmtId="43" fontId="22" fillId="23" borderId="6" xfId="54" applyFont="1" applyFill="1" applyBorder="1" applyAlignment="1"/>
    <xf numFmtId="43" fontId="0" fillId="0" borderId="6" xfId="54" applyFont="1" applyBorder="1"/>
    <xf numFmtId="43" fontId="19" fillId="0" borderId="6" xfId="54" applyFont="1" applyBorder="1" applyAlignment="1">
      <alignment horizontal="center"/>
    </xf>
    <xf numFmtId="43" fontId="0" fillId="0" borderId="6" xfId="54" applyFont="1" applyBorder="1" applyAlignment="1"/>
    <xf numFmtId="43" fontId="0" fillId="0" borderId="0" xfId="54" applyFont="1"/>
    <xf numFmtId="43" fontId="10" fillId="0" borderId="6" xfId="54" applyFont="1" applyBorder="1" applyAlignment="1">
      <alignment horizontal="center"/>
    </xf>
    <xf numFmtId="43" fontId="0" fillId="0" borderId="6" xfId="54" applyFont="1" applyBorder="1" applyAlignment="1">
      <alignment horizontal="center"/>
    </xf>
    <xf numFmtId="2" fontId="18" fillId="0" borderId="0" xfId="0" applyNumberFormat="1" applyFont="1"/>
    <xf numFmtId="0" fontId="11" fillId="22" borderId="0" xfId="4" applyNumberFormat="1" applyFont="1" applyFill="1"/>
    <xf numFmtId="0" fontId="11" fillId="22" borderId="0" xfId="4" applyNumberFormat="1" applyFont="1" applyFill="1" applyBorder="1"/>
    <xf numFmtId="0" fontId="10"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0" fillId="0" borderId="0" xfId="54" applyFont="1" applyBorder="1" applyAlignment="1">
      <alignment vertical="center" textRotation="90"/>
    </xf>
    <xf numFmtId="43" fontId="0" fillId="0" borderId="15" xfId="54" applyFont="1" applyBorder="1"/>
    <xf numFmtId="43" fontId="19"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10" fillId="0" borderId="0" xfId="0" applyFont="1" applyAlignment="1">
      <alignment vertical="top" wrapText="1"/>
    </xf>
    <xf numFmtId="0" fontId="10" fillId="0" borderId="4" xfId="0" applyFont="1" applyBorder="1" applyAlignment="1">
      <alignment vertical="top" wrapText="1"/>
    </xf>
    <xf numFmtId="167" fontId="47" fillId="0" borderId="0" xfId="37" applyNumberFormat="1" applyFont="1" applyAlignment="1" applyProtection="1">
      <alignment horizontal="right" vertical="top" wrapText="1" readingOrder="1"/>
      <protection locked="0"/>
    </xf>
    <xf numFmtId="0" fontId="48" fillId="0" borderId="0" xfId="0" applyFont="1" applyAlignment="1" applyProtection="1">
      <alignment vertical="top" wrapText="1" readingOrder="1"/>
      <protection locked="0"/>
    </xf>
    <xf numFmtId="167" fontId="49" fillId="0" borderId="0" xfId="37" applyNumberFormat="1" applyFont="1" applyAlignment="1" applyProtection="1">
      <alignment horizontal="right" vertical="top" wrapText="1" readingOrder="1"/>
      <protection locked="0"/>
    </xf>
    <xf numFmtId="0" fontId="10" fillId="0" borderId="0" xfId="37" applyAlignment="1">
      <alignment readingOrder="1"/>
    </xf>
    <xf numFmtId="49" fontId="12" fillId="0" borderId="0" xfId="57" applyNumberFormat="1" applyFont="1" applyFill="1" applyBorder="1" applyAlignment="1">
      <alignment horizontal="right"/>
    </xf>
    <xf numFmtId="49" fontId="52" fillId="0" borderId="0" xfId="58" applyNumberFormat="1" applyFont="1" applyFill="1" applyAlignment="1">
      <alignment horizontal="right"/>
    </xf>
    <xf numFmtId="0" fontId="50" fillId="0" borderId="0" xfId="0" applyFont="1"/>
    <xf numFmtId="0" fontId="29" fillId="22" borderId="0" xfId="0" applyFont="1" applyFill="1"/>
    <xf numFmtId="0" fontId="0" fillId="22" borderId="0" xfId="0" quotePrefix="1" applyFill="1"/>
    <xf numFmtId="0" fontId="11" fillId="22" borderId="13" xfId="0" applyFont="1" applyFill="1" applyBorder="1"/>
    <xf numFmtId="0" fontId="11" fillId="22" borderId="4" xfId="0" applyFont="1" applyFill="1" applyBorder="1"/>
    <xf numFmtId="0" fontId="0" fillId="22" borderId="4" xfId="0" applyFill="1" applyBorder="1"/>
    <xf numFmtId="0" fontId="45"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10" fillId="0" borderId="0" xfId="37"/>
    <xf numFmtId="0" fontId="13" fillId="22" borderId="0" xfId="0" applyFont="1" applyFill="1"/>
    <xf numFmtId="0" fontId="23" fillId="0" borderId="0" xfId="0" applyFont="1"/>
    <xf numFmtId="0" fontId="53" fillId="0" borderId="0" xfId="0" applyFont="1"/>
    <xf numFmtId="0" fontId="11" fillId="25" borderId="16" xfId="60" applyFont="1" applyFill="1" applyBorder="1"/>
    <xf numFmtId="169" fontId="11" fillId="25" borderId="16" xfId="60" applyNumberFormat="1" applyFont="1" applyFill="1" applyBorder="1" applyAlignment="1">
      <alignment horizontal="left"/>
    </xf>
    <xf numFmtId="0" fontId="10" fillId="25" borderId="0" xfId="0" applyFont="1" applyFill="1"/>
    <xf numFmtId="0" fontId="11" fillId="25" borderId="22" xfId="60" applyFont="1" applyFill="1" applyBorder="1" applyProtection="1">
      <protection locked="0"/>
    </xf>
    <xf numFmtId="0" fontId="11" fillId="25" borderId="17" xfId="60" applyFont="1" applyFill="1" applyBorder="1" applyAlignment="1">
      <alignment wrapText="1"/>
    </xf>
    <xf numFmtId="0" fontId="11" fillId="25" borderId="17" xfId="60" applyFont="1" applyFill="1" applyBorder="1"/>
    <xf numFmtId="0" fontId="6" fillId="0" borderId="18" xfId="60" applyBorder="1" applyProtection="1">
      <protection locked="0"/>
    </xf>
    <xf numFmtId="0" fontId="11" fillId="25" borderId="16" xfId="60" applyFont="1" applyFill="1" applyBorder="1" applyAlignment="1">
      <alignment horizontal="left"/>
    </xf>
    <xf numFmtId="0" fontId="43" fillId="25" borderId="21" xfId="60" applyFont="1" applyFill="1" applyBorder="1" applyProtection="1">
      <protection locked="0"/>
    </xf>
    <xf numFmtId="167" fontId="46" fillId="0" borderId="0" xfId="37" applyNumberFormat="1" applyFont="1" applyAlignment="1" applyProtection="1">
      <alignment horizontal="right" vertical="top" wrapText="1" readingOrder="1"/>
      <protection locked="0"/>
    </xf>
    <xf numFmtId="0" fontId="12" fillId="22" borderId="0" xfId="0" applyFont="1" applyFill="1"/>
    <xf numFmtId="0" fontId="43" fillId="0" borderId="0" xfId="0" applyFont="1" applyAlignment="1" applyProtection="1">
      <alignment vertical="top" wrapText="1" readingOrder="1"/>
      <protection locked="0"/>
    </xf>
    <xf numFmtId="0" fontId="0" fillId="25" borderId="0" xfId="0" applyFill="1"/>
    <xf numFmtId="0" fontId="49" fillId="0" borderId="0" xfId="37" applyFont="1" applyAlignment="1" applyProtection="1">
      <alignment horizontal="right" vertical="top" wrapText="1" readingOrder="1"/>
      <protection locked="0"/>
    </xf>
    <xf numFmtId="0" fontId="45" fillId="0" borderId="0" xfId="37" applyFont="1" applyAlignment="1" applyProtection="1">
      <alignmen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5"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4" fillId="22" borderId="0" xfId="0" applyFont="1" applyFill="1"/>
    <xf numFmtId="0" fontId="55" fillId="22" borderId="0" xfId="0" applyFont="1" applyFill="1"/>
    <xf numFmtId="0" fontId="55" fillId="22" borderId="0" xfId="0" applyFont="1" applyFill="1" applyAlignment="1">
      <alignment horizontal="right"/>
    </xf>
    <xf numFmtId="10" fontId="10" fillId="22" borderId="0" xfId="4" applyNumberFormat="1" applyFont="1" applyFill="1" applyAlignment="1">
      <alignment horizontal="right"/>
    </xf>
    <xf numFmtId="0" fontId="10" fillId="25" borderId="0" xfId="0" applyFont="1" applyFill="1" applyAlignment="1">
      <alignment wrapText="1"/>
    </xf>
    <xf numFmtId="0" fontId="12" fillId="22" borderId="4" xfId="0" applyFont="1" applyFill="1" applyBorder="1"/>
    <xf numFmtId="0" fontId="11" fillId="25" borderId="23" xfId="60" applyFont="1" applyFill="1" applyBorder="1"/>
    <xf numFmtId="0" fontId="10" fillId="0" borderId="0" xfId="0" applyFont="1" applyAlignment="1" applyProtection="1">
      <alignment wrapText="1"/>
      <protection locked="0"/>
    </xf>
    <xf numFmtId="0" fontId="10" fillId="0" borderId="0" xfId="0" applyFont="1" applyProtection="1">
      <protection locked="0"/>
    </xf>
    <xf numFmtId="0" fontId="0" fillId="0" borderId="0" xfId="0" applyProtection="1">
      <protection locked="0"/>
    </xf>
    <xf numFmtId="0" fontId="56" fillId="22" borderId="1" xfId="0" applyFont="1" applyFill="1" applyBorder="1"/>
    <xf numFmtId="0" fontId="56" fillId="22" borderId="0" xfId="0" applyFont="1" applyFill="1"/>
    <xf numFmtId="0" fontId="56" fillId="22" borderId="1" xfId="0" applyFont="1" applyFill="1" applyBorder="1" applyAlignment="1">
      <alignment horizontal="left"/>
    </xf>
    <xf numFmtId="165" fontId="57" fillId="22" borderId="0" xfId="54" applyNumberFormat="1" applyFont="1" applyFill="1" applyBorder="1" applyAlignment="1">
      <alignment horizontal="right"/>
    </xf>
    <xf numFmtId="0" fontId="57" fillId="22" borderId="0" xfId="0" applyFont="1" applyFill="1"/>
    <xf numFmtId="0" fontId="57" fillId="22" borderId="3" xfId="0" applyFont="1" applyFill="1" applyBorder="1"/>
    <xf numFmtId="0" fontId="57" fillId="22" borderId="4" xfId="0" applyFont="1" applyFill="1" applyBorder="1"/>
    <xf numFmtId="1" fontId="56" fillId="22" borderId="0" xfId="0" applyNumberFormat="1" applyFont="1" applyFill="1" applyAlignment="1">
      <alignment horizontal="left"/>
    </xf>
    <xf numFmtId="0" fontId="56" fillId="22" borderId="0" xfId="0" applyFont="1" applyFill="1" applyAlignment="1">
      <alignment horizontal="left"/>
    </xf>
    <xf numFmtId="0" fontId="56" fillId="22" borderId="8" xfId="0" applyFont="1" applyFill="1" applyBorder="1"/>
    <xf numFmtId="0" fontId="56" fillId="22" borderId="9" xfId="0" applyFont="1" applyFill="1" applyBorder="1"/>
    <xf numFmtId="0" fontId="56" fillId="22" borderId="1" xfId="0" applyFont="1" applyFill="1" applyBorder="1" applyAlignment="1">
      <alignment wrapText="1"/>
    </xf>
    <xf numFmtId="0" fontId="56" fillId="22" borderId="0" xfId="0" applyFont="1" applyFill="1" applyAlignment="1">
      <alignment wrapText="1"/>
    </xf>
    <xf numFmtId="1" fontId="56"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1" fillId="22" borderId="8" xfId="0" applyFont="1" applyFill="1" applyBorder="1"/>
    <xf numFmtId="0" fontId="11" fillId="22" borderId="7" xfId="0" applyFont="1" applyFill="1" applyBorder="1"/>
    <xf numFmtId="0" fontId="59" fillId="0" borderId="26" xfId="60" applyFont="1" applyBorder="1" applyAlignment="1" applyProtection="1">
      <alignment wrapText="1"/>
      <protection locked="0"/>
    </xf>
    <xf numFmtId="0" fontId="59" fillId="0" borderId="27" xfId="60" applyFont="1" applyBorder="1" applyAlignment="1" applyProtection="1">
      <alignment wrapText="1"/>
      <protection locked="0"/>
    </xf>
    <xf numFmtId="0" fontId="59" fillId="0" borderId="28" xfId="60" applyFont="1" applyBorder="1" applyAlignment="1" applyProtection="1">
      <alignment wrapText="1"/>
      <protection locked="0"/>
    </xf>
    <xf numFmtId="0" fontId="59" fillId="0" borderId="24" xfId="60" applyFont="1" applyBorder="1" applyAlignment="1" applyProtection="1">
      <alignment wrapText="1"/>
      <protection locked="0"/>
    </xf>
    <xf numFmtId="0" fontId="59" fillId="0" borderId="29" xfId="60" applyFont="1" applyBorder="1" applyAlignment="1" applyProtection="1">
      <alignment wrapText="1"/>
      <protection locked="0"/>
    </xf>
    <xf numFmtId="0" fontId="59" fillId="0" borderId="25" xfId="60" applyFont="1" applyBorder="1" applyAlignment="1" applyProtection="1">
      <alignment wrapText="1"/>
      <protection locked="0"/>
    </xf>
    <xf numFmtId="0" fontId="59" fillId="0" borderId="30" xfId="60" applyFont="1" applyBorder="1" applyAlignment="1" applyProtection="1">
      <alignment wrapText="1"/>
      <protection locked="0"/>
    </xf>
    <xf numFmtId="0" fontId="59" fillId="0" borderId="31" xfId="60" applyFont="1" applyBorder="1" applyAlignment="1" applyProtection="1">
      <alignment vertical="top" wrapText="1"/>
      <protection locked="0"/>
    </xf>
    <xf numFmtId="0" fontId="11" fillId="22" borderId="32" xfId="0" applyFont="1" applyFill="1" applyBorder="1"/>
    <xf numFmtId="0" fontId="59" fillId="0" borderId="33" xfId="60" applyFont="1" applyBorder="1" applyAlignment="1" applyProtection="1">
      <alignment wrapText="1"/>
      <protection locked="0"/>
    </xf>
    <xf numFmtId="0" fontId="59" fillId="0" borderId="34" xfId="60" applyFont="1" applyBorder="1" applyAlignment="1" applyProtection="1">
      <alignment vertical="top" wrapText="1"/>
      <protection locked="0"/>
    </xf>
    <xf numFmtId="0" fontId="59" fillId="0" borderId="32" xfId="60" applyFont="1" applyBorder="1" applyAlignment="1" applyProtection="1">
      <alignment wrapText="1"/>
      <protection locked="0"/>
    </xf>
    <xf numFmtId="0" fontId="59" fillId="0" borderId="36" xfId="60" applyFont="1" applyBorder="1" applyAlignment="1" applyProtection="1">
      <alignment wrapText="1"/>
      <protection locked="0"/>
    </xf>
    <xf numFmtId="0" fontId="0" fillId="0" borderId="35" xfId="0" applyBorder="1" applyAlignment="1">
      <alignment horizontal="center"/>
    </xf>
    <xf numFmtId="0" fontId="58" fillId="25" borderId="0" xfId="0" applyFont="1" applyFill="1"/>
    <xf numFmtId="0" fontId="0" fillId="0" borderId="0" xfId="0" quotePrefix="1" applyAlignment="1">
      <alignment horizontal="left" indent="2"/>
    </xf>
    <xf numFmtId="0" fontId="5"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4" fillId="0" borderId="16" xfId="60" applyFont="1" applyBorder="1" applyAlignment="1" applyProtection="1">
      <alignment wrapText="1"/>
      <protection locked="0"/>
    </xf>
    <xf numFmtId="0" fontId="3" fillId="0" borderId="17" xfId="60" applyFont="1" applyBorder="1" applyProtection="1">
      <protection locked="0"/>
    </xf>
    <xf numFmtId="0" fontId="2" fillId="0" borderId="16" xfId="60" applyFont="1" applyBorder="1" applyAlignment="1" applyProtection="1">
      <alignment wrapText="1"/>
      <protection locked="0"/>
    </xf>
    <xf numFmtId="0" fontId="5" fillId="0" borderId="16" xfId="60" applyFont="1" applyBorder="1" applyAlignment="1" applyProtection="1">
      <alignment vertical="top" wrapText="1"/>
      <protection locked="0"/>
    </xf>
    <xf numFmtId="0" fontId="11" fillId="0" borderId="0" xfId="0" applyFont="1" applyAlignment="1">
      <alignment horizontal="left"/>
    </xf>
    <xf numFmtId="43" fontId="0" fillId="0" borderId="0" xfId="54" applyFont="1" applyBorder="1"/>
    <xf numFmtId="43" fontId="19" fillId="0" borderId="0" xfId="54" applyFont="1" applyBorder="1" applyAlignment="1">
      <alignment horizontal="center"/>
    </xf>
    <xf numFmtId="43" fontId="0" fillId="0" borderId="0" xfId="54" applyFont="1" applyBorder="1" applyAlignment="1"/>
    <xf numFmtId="43" fontId="0" fillId="0" borderId="0" xfId="0" applyNumberFormat="1"/>
    <xf numFmtId="0" fontId="1" fillId="0" borderId="16" xfId="60" applyFont="1" applyBorder="1" applyAlignment="1" applyProtection="1">
      <alignment wrapText="1"/>
      <protection locked="0"/>
    </xf>
    <xf numFmtId="0" fontId="0" fillId="21" borderId="0" xfId="0" applyFill="1" applyAlignment="1">
      <alignment horizontal="left"/>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center"/>
    </xf>
    <xf numFmtId="0" fontId="0" fillId="0" borderId="0" xfId="0" applyAlignment="1">
      <alignment horizontal="left"/>
    </xf>
    <xf numFmtId="0" fontId="11"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28" fillId="23" borderId="0" xfId="0" quotePrefix="1" applyFont="1" applyFill="1" applyAlignment="1">
      <alignment horizontal="center"/>
    </xf>
    <xf numFmtId="2" fontId="11" fillId="0" borderId="0" xfId="4" applyNumberFormat="1" applyFont="1" applyAlignment="1">
      <alignment horizontal="right"/>
    </xf>
    <xf numFmtId="0" fontId="26" fillId="23" borderId="0" xfId="0" applyFont="1" applyFill="1" applyAlignment="1">
      <alignment horizontal="center" vertical="center"/>
    </xf>
    <xf numFmtId="2" fontId="0" fillId="0" borderId="0" xfId="0" applyNumberFormat="1" applyAlignment="1">
      <alignment horizontal="center"/>
    </xf>
    <xf numFmtId="166" fontId="0" fillId="0" borderId="0" xfId="54" applyNumberFormat="1" applyFont="1" applyAlignment="1">
      <alignment horizontal="center"/>
    </xf>
    <xf numFmtId="0" fontId="11" fillId="0" borderId="0" xfId="0" applyFont="1" applyAlignment="1">
      <alignment horizontal="left"/>
    </xf>
    <xf numFmtId="164" fontId="0" fillId="0" borderId="15" xfId="54" applyNumberFormat="1" applyFont="1" applyBorder="1" applyAlignment="1">
      <alignment horizontal="center"/>
    </xf>
    <xf numFmtId="2" fontId="0" fillId="0" borderId="0" xfId="4" applyNumberFormat="1" applyFont="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1" xfId="0" applyFont="1" applyBorder="1" applyAlignment="1">
      <alignment horizontal="left" vertical="top"/>
    </xf>
    <xf numFmtId="0" fontId="11" fillId="0" borderId="0" xfId="0" applyFont="1" applyAlignment="1">
      <alignment horizontal="left" vertical="top"/>
    </xf>
    <xf numFmtId="2" fontId="11" fillId="0" borderId="0" xfId="4" applyNumberFormat="1" applyFont="1" applyAlignment="1">
      <alignment horizontal="center"/>
    </xf>
    <xf numFmtId="1" fontId="0" fillId="0" borderId="0" xfId="0" applyNumberFormat="1" applyAlignment="1">
      <alignment horizontal="center"/>
    </xf>
    <xf numFmtId="2" fontId="0" fillId="0" borderId="0" xfId="52" applyNumberFormat="1" applyFont="1" applyAlignment="1">
      <alignment horizontal="right"/>
    </xf>
    <xf numFmtId="0" fontId="23" fillId="0" borderId="0" xfId="0" applyFont="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42" fillId="23" borderId="0" xfId="0" applyFont="1" applyFill="1" applyAlignment="1">
      <alignment horizontal="center" vertical="center"/>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43" fontId="0" fillId="0" borderId="0" xfId="54" applyFont="1" applyBorder="1" applyAlignment="1">
      <alignment horizontal="center"/>
    </xf>
    <xf numFmtId="0" fontId="41" fillId="23" borderId="0" xfId="0" applyFont="1" applyFill="1" applyAlignment="1">
      <alignment horizontal="center" vertical="center"/>
    </xf>
    <xf numFmtId="0" fontId="13" fillId="2" borderId="4" xfId="0" applyFont="1" applyFill="1" applyBorder="1" applyAlignment="1">
      <alignment horizontal="center"/>
    </xf>
    <xf numFmtId="1" fontId="12" fillId="0" borderId="4" xfId="4" applyNumberFormat="1" applyFont="1" applyBorder="1" applyAlignment="1">
      <alignment horizontal="center"/>
    </xf>
    <xf numFmtId="0" fontId="10" fillId="0" borderId="0" xfId="0" applyFont="1" applyAlignment="1">
      <alignment horizontal="left"/>
    </xf>
    <xf numFmtId="0" fontId="10" fillId="0" borderId="1"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24" fillId="5" borderId="4" xfId="0" applyFont="1" applyFill="1" applyBorder="1" applyAlignment="1">
      <alignment horizontal="center"/>
    </xf>
    <xf numFmtId="43" fontId="0" fillId="0" borderId="15" xfId="54" applyFont="1" applyBorder="1" applyAlignment="1">
      <alignment horizontal="center"/>
    </xf>
    <xf numFmtId="43" fontId="10" fillId="0" borderId="15" xfId="54" applyFont="1" applyBorder="1" applyAlignment="1">
      <alignment horizontal="center"/>
    </xf>
    <xf numFmtId="0" fontId="11" fillId="3" borderId="1"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43" fontId="10" fillId="0" borderId="0" xfId="54" applyFont="1" applyBorder="1" applyAlignment="1">
      <alignment horizontal="center"/>
    </xf>
    <xf numFmtId="164" fontId="10" fillId="0" borderId="6" xfId="54" applyNumberFormat="1" applyFont="1" applyBorder="1" applyAlignment="1">
      <alignment horizontal="center"/>
    </xf>
    <xf numFmtId="0" fontId="10" fillId="0" borderId="0" xfId="0" applyFont="1" applyAlignment="1">
      <alignment horizontal="left" vertical="top" wrapText="1"/>
    </xf>
    <xf numFmtId="43" fontId="12" fillId="0" borderId="15" xfId="54" applyFont="1" applyBorder="1" applyAlignment="1">
      <alignment horizontal="center" vertical="center" textRotation="90"/>
    </xf>
    <xf numFmtId="43" fontId="12" fillId="0" borderId="0" xfId="54" applyFont="1" applyBorder="1" applyAlignment="1">
      <alignment horizontal="center" vertical="center" textRotation="90"/>
    </xf>
    <xf numFmtId="164" fontId="0" fillId="0" borderId="0" xfId="54" applyNumberFormat="1" applyFont="1" applyBorder="1" applyAlignment="1">
      <alignment horizontal="center"/>
    </xf>
    <xf numFmtId="0" fontId="10" fillId="0" borderId="8" xfId="0" applyFont="1" applyBorder="1" applyAlignment="1">
      <alignment horizontal="left"/>
    </xf>
    <xf numFmtId="0" fontId="10" fillId="0" borderId="9" xfId="0" applyFont="1" applyBorder="1" applyAlignment="1">
      <alignment horizontal="left"/>
    </xf>
    <xf numFmtId="0" fontId="10" fillId="0" borderId="7" xfId="0" applyFont="1" applyBorder="1" applyAlignment="1">
      <alignment horizontal="left"/>
    </xf>
    <xf numFmtId="0" fontId="16" fillId="3" borderId="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4" borderId="0" xfId="0" applyFont="1" applyFill="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43" fontId="22" fillId="21" borderId="6" xfId="54" applyFont="1" applyFill="1" applyBorder="1" applyAlignment="1">
      <alignment horizontal="center"/>
    </xf>
    <xf numFmtId="43" fontId="22" fillId="23" borderId="6" xfId="54" applyFont="1" applyFill="1" applyBorder="1" applyAlignment="1">
      <alignment horizontal="center"/>
    </xf>
    <xf numFmtId="0" fontId="11" fillId="0" borderId="7" xfId="0" applyFont="1" applyBorder="1" applyAlignment="1">
      <alignment horizontal="left" vertical="top"/>
    </xf>
    <xf numFmtId="0" fontId="11" fillId="0" borderId="2" xfId="0" applyFont="1" applyBorder="1" applyAlignment="1">
      <alignment horizontal="left" vertical="top"/>
    </xf>
    <xf numFmtId="0" fontId="24" fillId="6" borderId="4" xfId="0" applyFont="1" applyFill="1" applyBorder="1" applyAlignment="1">
      <alignment horizontal="center"/>
    </xf>
    <xf numFmtId="0" fontId="14" fillId="0" borderId="0" xfId="0" applyFont="1" applyAlignment="1">
      <alignment horizontal="left"/>
    </xf>
    <xf numFmtId="0" fontId="24" fillId="23" borderId="4" xfId="0" applyFont="1" applyFill="1" applyBorder="1" applyAlignment="1">
      <alignment horizontal="center"/>
    </xf>
    <xf numFmtId="0" fontId="0" fillId="23" borderId="4" xfId="0" applyFill="1" applyBorder="1" applyAlignment="1">
      <alignment horizontal="center"/>
    </xf>
    <xf numFmtId="0" fontId="16" fillId="3" borderId="0" xfId="0" applyFont="1" applyFill="1" applyAlignment="1" applyProtection="1">
      <alignment horizontal="left" vertical="top" wrapText="1"/>
      <protection locked="0"/>
    </xf>
    <xf numFmtId="0" fontId="11" fillId="21" borderId="0" xfId="0" applyFont="1" applyFill="1" applyAlignment="1">
      <alignment horizontal="center"/>
    </xf>
    <xf numFmtId="2" fontId="11" fillId="21" borderId="0" xfId="4" applyNumberFormat="1" applyFont="1" applyFill="1" applyAlignment="1">
      <alignment horizontal="center"/>
    </xf>
    <xf numFmtId="0" fontId="29" fillId="22" borderId="1" xfId="0" applyFont="1" applyFill="1" applyBorder="1" applyAlignment="1">
      <alignment horizontal="left" wrapText="1"/>
    </xf>
    <xf numFmtId="0" fontId="29" fillId="22" borderId="0" xfId="0" applyFont="1" applyFill="1" applyAlignment="1">
      <alignment horizontal="left" wrapText="1"/>
    </xf>
    <xf numFmtId="0" fontId="56" fillId="22" borderId="1" xfId="0" applyFont="1" applyFill="1" applyBorder="1" applyAlignment="1">
      <alignment horizontal="left" vertical="top" wrapText="1"/>
    </xf>
    <xf numFmtId="0" fontId="56" fillId="22" borderId="0" xfId="0" applyFont="1" applyFill="1" applyAlignment="1">
      <alignment horizontal="left" vertical="top" wrapText="1"/>
    </xf>
    <xf numFmtId="0" fontId="56" fillId="22" borderId="2" xfId="0" applyFont="1" applyFill="1" applyBorder="1" applyAlignment="1">
      <alignment horizontal="left" vertical="top" wrapText="1"/>
    </xf>
    <xf numFmtId="0" fontId="11" fillId="25" borderId="19" xfId="60" applyFont="1" applyFill="1" applyBorder="1" applyAlignment="1">
      <alignment horizontal="left" vertical="center" wrapText="1"/>
    </xf>
    <xf numFmtId="0" fontId="11" fillId="25" borderId="20" xfId="60" applyFont="1" applyFill="1" applyBorder="1" applyAlignment="1">
      <alignment horizontal="left" vertical="center" wrapText="1"/>
    </xf>
    <xf numFmtId="167" fontId="46"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4"/>
                <c:pt idx="13">
                  <c:v>u</c:v>
                </c:pt>
              </c:strCache>
            </c:strRef>
          </c:cat>
          <c:val>
            <c:numRef>
              <c:f>[0]!TopQuart</c:f>
              <c:numCache>
                <c:formatCode>General</c:formatCode>
                <c:ptCount val="58"/>
                <c:pt idx="0">
                  <c:v>353</c:v>
                </c:pt>
                <c:pt idx="1">
                  <c:v>354</c:v>
                </c:pt>
                <c:pt idx="2">
                  <c:v>373.6</c:v>
                </c:pt>
                <c:pt idx="3">
                  <c:v>377.7</c:v>
                </c:pt>
                <c:pt idx="4">
                  <c:v>377.9</c:v>
                </c:pt>
                <c:pt idx="5">
                  <c:v>392.2</c:v>
                </c:pt>
                <c:pt idx="6">
                  <c:v>397.1</c:v>
                </c:pt>
                <c:pt idx="7">
                  <c:v>404.8</c:v>
                </c:pt>
                <c:pt idx="8">
                  <c:v>413.3</c:v>
                </c:pt>
                <c:pt idx="9">
                  <c:v>415.4</c:v>
                </c:pt>
                <c:pt idx="10">
                  <c:v>420.4</c:v>
                </c:pt>
                <c:pt idx="11">
                  <c:v>444.1</c:v>
                </c:pt>
                <c:pt idx="12">
                  <c:v>454.1</c:v>
                </c:pt>
                <c:pt idx="13">
                  <c:v>467.1</c:v>
                </c:pt>
                <c:pt idx="14">
                  <c:v>469.9</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4"/>
                <c:pt idx="13">
                  <c:v>u</c:v>
                </c:pt>
              </c:strCache>
            </c:strRef>
          </c:cat>
          <c:val>
            <c:numRef>
              <c:f>[0]!SecQuart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470.6</c:v>
                </c:pt>
                <c:pt idx="16">
                  <c:v>477.3</c:v>
                </c:pt>
                <c:pt idx="17">
                  <c:v>481.2</c:v>
                </c:pt>
                <c:pt idx="18">
                  <c:v>489.4</c:v>
                </c:pt>
                <c:pt idx="19">
                  <c:v>492.9</c:v>
                </c:pt>
                <c:pt idx="20">
                  <c:v>497</c:v>
                </c:pt>
                <c:pt idx="21">
                  <c:v>499.4</c:v>
                </c:pt>
                <c:pt idx="22">
                  <c:v>502</c:v>
                </c:pt>
                <c:pt idx="23">
                  <c:v>509.6</c:v>
                </c:pt>
                <c:pt idx="24">
                  <c:v>514.4</c:v>
                </c:pt>
                <c:pt idx="25">
                  <c:v>517.6</c:v>
                </c:pt>
                <c:pt idx="26">
                  <c:v>521.9</c:v>
                </c:pt>
                <c:pt idx="27">
                  <c:v>526.29999999999995</c:v>
                </c:pt>
                <c:pt idx="28">
                  <c:v>529.20000000000005</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4"/>
                <c:pt idx="13">
                  <c:v>u</c:v>
                </c:pt>
              </c:strCache>
            </c:strRef>
          </c:cat>
          <c:val>
            <c:numRef>
              <c:f>[0]!ThirdQuart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529.29999999999995</c:v>
                </c:pt>
                <c:pt idx="30">
                  <c:v>530</c:v>
                </c:pt>
                <c:pt idx="31">
                  <c:v>531.9</c:v>
                </c:pt>
                <c:pt idx="32">
                  <c:v>534.9</c:v>
                </c:pt>
                <c:pt idx="33">
                  <c:v>536.9</c:v>
                </c:pt>
                <c:pt idx="34">
                  <c:v>542.4</c:v>
                </c:pt>
                <c:pt idx="35">
                  <c:v>546.6</c:v>
                </c:pt>
                <c:pt idx="36">
                  <c:v>549.70000000000005</c:v>
                </c:pt>
                <c:pt idx="37">
                  <c:v>551.79999999999995</c:v>
                </c:pt>
                <c:pt idx="38">
                  <c:v>555.9</c:v>
                </c:pt>
                <c:pt idx="39">
                  <c:v>562.20000000000005</c:v>
                </c:pt>
                <c:pt idx="40">
                  <c:v>565.20000000000005</c:v>
                </c:pt>
                <c:pt idx="41">
                  <c:v>568.29999999999995</c:v>
                </c:pt>
                <c:pt idx="42">
                  <c:v>570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4"/>
                <c:pt idx="13">
                  <c:v>u</c:v>
                </c:pt>
              </c:strCache>
            </c:strRef>
          </c:cat>
          <c:val>
            <c:numRef>
              <c:f>[0]!BotQuart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572.9</c:v>
                </c:pt>
                <c:pt idx="44">
                  <c:v>575.1</c:v>
                </c:pt>
                <c:pt idx="45">
                  <c:v>577.6</c:v>
                </c:pt>
                <c:pt idx="46">
                  <c:v>578.1</c:v>
                </c:pt>
                <c:pt idx="47">
                  <c:v>580.79999999999995</c:v>
                </c:pt>
                <c:pt idx="48">
                  <c:v>591.70000000000005</c:v>
                </c:pt>
                <c:pt idx="49">
                  <c:v>598.9</c:v>
                </c:pt>
                <c:pt idx="50">
                  <c:v>599.5</c:v>
                </c:pt>
                <c:pt idx="51">
                  <c:v>602.29999999999995</c:v>
                </c:pt>
                <c:pt idx="52">
                  <c:v>618.29999999999995</c:v>
                </c:pt>
                <c:pt idx="53">
                  <c:v>660.8</c:v>
                </c:pt>
                <c:pt idx="54">
                  <c:v>664.8</c:v>
                </c:pt>
                <c:pt idx="55">
                  <c:v>693.5</c:v>
                </c:pt>
                <c:pt idx="56">
                  <c:v>698.2</c:v>
                </c:pt>
                <c:pt idx="57">
                  <c:v>759.1</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4"/>
                <c:pt idx="13">
                  <c:v>u</c:v>
                </c:pt>
              </c:strCache>
            </c:strRef>
          </c:cat>
          <c:val>
            <c:numRef>
              <c:f>[0]!MarkData</c:f>
              <c:numCache>
                <c:formatCode>0.00</c:formatCode>
                <c:ptCount val="58"/>
                <c:pt idx="0">
                  <c:v>353</c:v>
                </c:pt>
                <c:pt idx="1">
                  <c:v>354</c:v>
                </c:pt>
                <c:pt idx="2">
                  <c:v>373.6</c:v>
                </c:pt>
                <c:pt idx="3">
                  <c:v>377.7</c:v>
                </c:pt>
                <c:pt idx="4">
                  <c:v>377.9</c:v>
                </c:pt>
                <c:pt idx="5">
                  <c:v>392.2</c:v>
                </c:pt>
                <c:pt idx="6">
                  <c:v>397.1</c:v>
                </c:pt>
                <c:pt idx="7">
                  <c:v>404.8</c:v>
                </c:pt>
                <c:pt idx="8">
                  <c:v>413.3</c:v>
                </c:pt>
                <c:pt idx="9">
                  <c:v>415.4</c:v>
                </c:pt>
                <c:pt idx="10">
                  <c:v>420.4</c:v>
                </c:pt>
                <c:pt idx="11">
                  <c:v>444.1</c:v>
                </c:pt>
                <c:pt idx="12">
                  <c:v>454.1</c:v>
                </c:pt>
                <c:pt idx="13">
                  <c:v>467.1</c:v>
                </c:pt>
                <c:pt idx="14">
                  <c:v>469.9</c:v>
                </c:pt>
                <c:pt idx="15">
                  <c:v>470.6</c:v>
                </c:pt>
                <c:pt idx="16">
                  <c:v>477.3</c:v>
                </c:pt>
                <c:pt idx="17">
                  <c:v>481.2</c:v>
                </c:pt>
                <c:pt idx="18">
                  <c:v>489.4</c:v>
                </c:pt>
                <c:pt idx="19">
                  <c:v>492.9</c:v>
                </c:pt>
                <c:pt idx="20">
                  <c:v>497</c:v>
                </c:pt>
                <c:pt idx="21">
                  <c:v>499.4</c:v>
                </c:pt>
                <c:pt idx="22">
                  <c:v>502</c:v>
                </c:pt>
                <c:pt idx="23">
                  <c:v>509.6</c:v>
                </c:pt>
                <c:pt idx="24">
                  <c:v>514.4</c:v>
                </c:pt>
                <c:pt idx="25">
                  <c:v>517.6</c:v>
                </c:pt>
                <c:pt idx="26">
                  <c:v>521.9</c:v>
                </c:pt>
                <c:pt idx="27">
                  <c:v>526.29999999999995</c:v>
                </c:pt>
                <c:pt idx="28">
                  <c:v>529.20000000000005</c:v>
                </c:pt>
                <c:pt idx="29">
                  <c:v>529.29999999999995</c:v>
                </c:pt>
                <c:pt idx="30">
                  <c:v>530</c:v>
                </c:pt>
                <c:pt idx="31">
                  <c:v>531.9</c:v>
                </c:pt>
                <c:pt idx="32">
                  <c:v>534.9</c:v>
                </c:pt>
                <c:pt idx="33">
                  <c:v>536.9</c:v>
                </c:pt>
                <c:pt idx="34">
                  <c:v>542.4</c:v>
                </c:pt>
                <c:pt idx="35">
                  <c:v>546.6</c:v>
                </c:pt>
                <c:pt idx="36">
                  <c:v>549.70000000000005</c:v>
                </c:pt>
                <c:pt idx="37">
                  <c:v>551.79999999999995</c:v>
                </c:pt>
                <c:pt idx="38">
                  <c:v>555.9</c:v>
                </c:pt>
                <c:pt idx="39">
                  <c:v>562.20000000000005</c:v>
                </c:pt>
                <c:pt idx="40">
                  <c:v>565.20000000000005</c:v>
                </c:pt>
                <c:pt idx="41">
                  <c:v>568.29999999999995</c:v>
                </c:pt>
                <c:pt idx="42">
                  <c:v>570</c:v>
                </c:pt>
                <c:pt idx="43">
                  <c:v>572.9</c:v>
                </c:pt>
                <c:pt idx="44">
                  <c:v>575.1</c:v>
                </c:pt>
                <c:pt idx="45">
                  <c:v>577.6</c:v>
                </c:pt>
                <c:pt idx="46">
                  <c:v>578.1</c:v>
                </c:pt>
                <c:pt idx="47">
                  <c:v>580.79999999999995</c:v>
                </c:pt>
                <c:pt idx="48">
                  <c:v>591.70000000000005</c:v>
                </c:pt>
                <c:pt idx="49">
                  <c:v>598.9</c:v>
                </c:pt>
                <c:pt idx="50">
                  <c:v>599.5</c:v>
                </c:pt>
                <c:pt idx="51">
                  <c:v>602.29999999999995</c:v>
                </c:pt>
                <c:pt idx="52">
                  <c:v>618.29999999999995</c:v>
                </c:pt>
                <c:pt idx="53">
                  <c:v>660.8</c:v>
                </c:pt>
                <c:pt idx="54">
                  <c:v>664.8</c:v>
                </c:pt>
                <c:pt idx="55">
                  <c:v>693.5</c:v>
                </c:pt>
                <c:pt idx="56">
                  <c:v>698.2</c:v>
                </c:pt>
                <c:pt idx="57">
                  <c:v>759.1</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Cheshire East</c:v>
                </c:pt>
                <c:pt idx="1">
                  <c:v>Unitaries</c:v>
                </c:pt>
                <c:pt idx="2">
                  <c:v>Regional</c:v>
                </c:pt>
                <c:pt idx="3">
                  <c:v> Rural </c:v>
                </c:pt>
              </c:strCache>
            </c:strRef>
          </c:cat>
          <c:val>
            <c:numRef>
              <c:f>Profile!$E$48:$E$51</c:f>
              <c:numCache>
                <c:formatCode>0.00</c:formatCode>
                <c:ptCount val="4"/>
                <c:pt idx="0">
                  <c:v>467.1</c:v>
                </c:pt>
                <c:pt idx="1">
                  <c:v>520.51896551724133</c:v>
                </c:pt>
                <c:pt idx="2">
                  <c:v>509.75000000000006</c:v>
                </c:pt>
                <c:pt idx="3">
                  <c:v>492.68999999999988</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470.07499999999999</c:v>
                </c:pt>
                <c:pt idx="1">
                  <c:v>470.07499999999999</c:v>
                </c:pt>
                <c:pt idx="2">
                  <c:v>470.07499999999999</c:v>
                </c:pt>
                <c:pt idx="3">
                  <c:v>470.07499999999999</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529.25</c:v>
                </c:pt>
                <c:pt idx="1">
                  <c:v>529.25</c:v>
                </c:pt>
                <c:pt idx="2">
                  <c:v>529.25</c:v>
                </c:pt>
                <c:pt idx="3">
                  <c:v>529.25</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572.17499999999995</c:v>
                </c:pt>
                <c:pt idx="1">
                  <c:v>572.17499999999995</c:v>
                </c:pt>
                <c:pt idx="2">
                  <c:v>572.17499999999995</c:v>
                </c:pt>
                <c:pt idx="3">
                  <c:v>572.17499999999995</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Cheshire East</c:v>
                </c:pt>
                <c:pt idx="1">
                  <c:v>Predominantly Rural</c:v>
                </c:pt>
                <c:pt idx="2">
                  <c:v>Predominantly Urban</c:v>
                </c:pt>
                <c:pt idx="3">
                  <c:v>Significant Rural</c:v>
                </c:pt>
              </c:strCache>
            </c:strRef>
          </c:cat>
          <c:val>
            <c:numRef>
              <c:f>Profile!$G$118:$G$121</c:f>
              <c:numCache>
                <c:formatCode>0.00</c:formatCode>
                <c:ptCount val="4"/>
                <c:pt idx="0">
                  <c:v>467.1</c:v>
                </c:pt>
                <c:pt idx="1">
                  <c:v>505.54545454545462</c:v>
                </c:pt>
                <c:pt idx="2">
                  <c:v>537.0194444444445</c:v>
                </c:pt>
                <c:pt idx="3">
                  <c:v>477.01000000000005</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470.07499999999999</c:v>
                </c:pt>
                <c:pt idx="1">
                  <c:v>470.07499999999999</c:v>
                </c:pt>
                <c:pt idx="2">
                  <c:v>470.07499999999999</c:v>
                </c:pt>
                <c:pt idx="3">
                  <c:v>470.07499999999999</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529.25</c:v>
                </c:pt>
                <c:pt idx="1">
                  <c:v>529.25</c:v>
                </c:pt>
                <c:pt idx="2">
                  <c:v>529.25</c:v>
                </c:pt>
                <c:pt idx="3">
                  <c:v>529.25</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572.17499999999995</c:v>
                </c:pt>
                <c:pt idx="1">
                  <c:v>572.17499999999995</c:v>
                </c:pt>
                <c:pt idx="2">
                  <c:v>572.17499999999995</c:v>
                </c:pt>
                <c:pt idx="3">
                  <c:v>572.17499999999995</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109375" customWidth="1"/>
    <col min="18" max="18" width="2.77734375" customWidth="1"/>
    <col min="19" max="22" width="2.44140625" customWidth="1"/>
    <col min="23" max="23" width="3.21875" customWidth="1"/>
    <col min="24" max="39" width="2.44140625" customWidth="1"/>
    <col min="40" max="40" width="2.33203125" customWidth="1"/>
    <col min="41" max="41" width="3" customWidth="1"/>
  </cols>
  <sheetData>
    <row r="1" spans="2:40" ht="19.5" customHeight="1">
      <c r="B1" s="242" t="str">
        <f>VLOOKUP('Filtered Data'!D1,'Filtered Data'!L1:O6,3,FALSE)</f>
        <v>Unitary</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row>
    <row r="2" spans="2:40"/>
    <row r="3" spans="2:40" ht="19.5" customHeight="1">
      <c r="B3" s="252" t="str">
        <f>Data!B3</f>
        <v>Waste Management Indicators</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2:40">
      <c r="D4" s="3"/>
      <c r="E4" s="3"/>
    </row>
    <row r="5" spans="2:40" ht="15.75" customHeight="1">
      <c r="B5" s="288" t="s">
        <v>335</v>
      </c>
      <c r="C5" s="288"/>
      <c r="D5" s="288"/>
      <c r="E5" s="288"/>
      <c r="J5" s="291" t="s">
        <v>305</v>
      </c>
      <c r="K5" s="291"/>
      <c r="L5" s="291"/>
      <c r="M5" s="291"/>
      <c r="N5" s="291"/>
      <c r="O5" s="291"/>
      <c r="P5" s="291"/>
      <c r="Q5" s="291"/>
      <c r="R5" s="291"/>
      <c r="S5" s="291"/>
      <c r="W5" s="271" t="s">
        <v>363</v>
      </c>
      <c r="X5" s="272"/>
      <c r="Y5" s="272"/>
      <c r="Z5" s="272"/>
      <c r="AA5" s="272"/>
      <c r="AB5" s="272"/>
      <c r="AC5" s="272"/>
      <c r="AD5" s="272"/>
      <c r="AE5" s="272"/>
      <c r="AF5" s="272"/>
      <c r="AG5" s="272"/>
      <c r="AH5" s="272"/>
      <c r="AI5" s="272"/>
      <c r="AJ5" s="272"/>
      <c r="AK5" s="272"/>
      <c r="AL5" s="272"/>
      <c r="AM5" s="273"/>
    </row>
    <row r="6" spans="2:40" ht="17.25" customHeight="1">
      <c r="J6" s="291"/>
      <c r="K6" s="291"/>
      <c r="L6" s="291"/>
      <c r="M6" s="291"/>
      <c r="N6" s="291"/>
      <c r="O6" s="291"/>
      <c r="P6" s="291"/>
      <c r="Q6" s="291"/>
      <c r="R6" s="291"/>
      <c r="S6" s="291"/>
      <c r="W6" s="274" t="s">
        <v>890</v>
      </c>
      <c r="X6" s="275"/>
      <c r="Y6" s="275"/>
      <c r="Z6" s="275"/>
      <c r="AA6" s="275"/>
      <c r="AB6" s="275"/>
      <c r="AC6" s="275"/>
      <c r="AD6" s="275"/>
      <c r="AE6" s="275"/>
      <c r="AF6" s="275"/>
      <c r="AG6" s="275"/>
      <c r="AH6" s="275"/>
      <c r="AI6" s="275"/>
      <c r="AJ6" s="275"/>
      <c r="AK6" s="275"/>
      <c r="AL6" s="275"/>
      <c r="AM6" s="276"/>
    </row>
    <row r="7" spans="2:40" ht="12.75" customHeight="1">
      <c r="W7" s="274"/>
      <c r="X7" s="275"/>
      <c r="Y7" s="275"/>
      <c r="Z7" s="275"/>
      <c r="AA7" s="275"/>
      <c r="AB7" s="275"/>
      <c r="AC7" s="275"/>
      <c r="AD7" s="275"/>
      <c r="AE7" s="275"/>
      <c r="AF7" s="275"/>
      <c r="AG7" s="275"/>
      <c r="AH7" s="275"/>
      <c r="AI7" s="275"/>
      <c r="AJ7" s="275"/>
      <c r="AK7" s="275"/>
      <c r="AL7" s="275"/>
      <c r="AM7" s="276"/>
    </row>
    <row r="8" spans="2:40" ht="12.75" customHeight="1">
      <c r="B8" s="220" t="str">
        <f>IF('Filtered Data'!D1="L","County:","Type of Authority:")</f>
        <v>Type of Authority:</v>
      </c>
      <c r="C8" s="255"/>
      <c r="D8" s="255"/>
      <c r="E8" s="255"/>
      <c r="F8" s="255"/>
      <c r="G8" s="255"/>
      <c r="H8" s="255"/>
      <c r="I8" s="255"/>
      <c r="J8" s="3" t="str">
        <f>IF('Filtered Data'!D1="L",'Filtered Data'!I3,VLOOKUP('Filtered Data'!D1,'Filtered Data'!L1:O5,3,FALSE))</f>
        <v>Unitary</v>
      </c>
      <c r="K8" s="3"/>
      <c r="L8" s="3"/>
      <c r="M8" s="3"/>
      <c r="N8" s="3"/>
      <c r="O8" s="3"/>
      <c r="P8" s="3"/>
      <c r="Q8" s="3"/>
      <c r="R8" s="3"/>
      <c r="W8" s="274"/>
      <c r="X8" s="275"/>
      <c r="Y8" s="275"/>
      <c r="Z8" s="275"/>
      <c r="AA8" s="275"/>
      <c r="AB8" s="275"/>
      <c r="AC8" s="275"/>
      <c r="AD8" s="275"/>
      <c r="AE8" s="275"/>
      <c r="AF8" s="275"/>
      <c r="AG8" s="275"/>
      <c r="AH8" s="275"/>
      <c r="AI8" s="275"/>
      <c r="AJ8" s="275"/>
      <c r="AK8" s="275"/>
      <c r="AL8" s="275"/>
      <c r="AM8" s="276"/>
    </row>
    <row r="9" spans="2:40" ht="12.75" customHeight="1">
      <c r="B9" s="220" t="str">
        <f>IF('Filtered Data'!D1="L","Rural Classification:","Region:")</f>
        <v>Region:</v>
      </c>
      <c r="C9" s="255"/>
      <c r="D9" s="255"/>
      <c r="E9" s="255"/>
      <c r="F9" s="255"/>
      <c r="G9" s="255"/>
      <c r="H9" s="255"/>
      <c r="I9" s="255"/>
      <c r="J9" s="3" t="str">
        <f>IF('Filtered Data'!D1="L",'Filtered Data'!H3,'Filtered Data'!G3)</f>
        <v>North West</v>
      </c>
      <c r="K9" s="3"/>
      <c r="L9" s="3"/>
      <c r="M9" s="3"/>
      <c r="N9" s="3"/>
      <c r="O9" s="3"/>
      <c r="P9" s="3"/>
      <c r="Q9" s="3"/>
      <c r="R9" s="3"/>
      <c r="W9" s="274"/>
      <c r="X9" s="275"/>
      <c r="Y9" s="275"/>
      <c r="Z9" s="275"/>
      <c r="AA9" s="275"/>
      <c r="AB9" s="275"/>
      <c r="AC9" s="275"/>
      <c r="AD9" s="275"/>
      <c r="AE9" s="275"/>
      <c r="AF9" s="275"/>
      <c r="AG9" s="275"/>
      <c r="AH9" s="275"/>
      <c r="AI9" s="275"/>
      <c r="AJ9" s="275"/>
      <c r="AK9" s="275"/>
      <c r="AL9" s="275"/>
      <c r="AM9" s="276"/>
    </row>
    <row r="10" spans="2:40" ht="12.75" customHeight="1">
      <c r="B10" s="255" t="str">
        <f>IF('Filtered Data'!D1="L","",IF('Filtered Data'!D1="SC","Rural Classification:",IF('Filtered Data'!D1="UA","Rural Classification:","County:")))</f>
        <v>Rural Classification:</v>
      </c>
      <c r="C10" s="255"/>
      <c r="D10" s="255"/>
      <c r="E10" s="255"/>
      <c r="F10" s="255"/>
      <c r="G10" s="255"/>
      <c r="H10" s="255"/>
      <c r="I10" s="255"/>
      <c r="J10" s="220" t="str">
        <f>IF('Filtered Data'!D1="L","",IF('Filtered Data'!D1="MD",'Filtered Data'!I3,IF('Filtered Data'!D1="SD",'Filtered Data'!I3,'Filtered Data'!H3)))</f>
        <v>Urban with Significant Rural (rural including hub towns 26-49%)</v>
      </c>
      <c r="K10" s="220"/>
      <c r="L10" s="220"/>
      <c r="M10" s="220"/>
      <c r="N10" s="220"/>
      <c r="O10" s="220"/>
      <c r="P10" s="220"/>
      <c r="Q10" s="220"/>
      <c r="R10" s="220"/>
      <c r="W10" s="274"/>
      <c r="X10" s="275"/>
      <c r="Y10" s="275"/>
      <c r="Z10" s="275"/>
      <c r="AA10" s="275"/>
      <c r="AB10" s="275"/>
      <c r="AC10" s="275"/>
      <c r="AD10" s="275"/>
      <c r="AE10" s="275"/>
      <c r="AF10" s="275"/>
      <c r="AG10" s="275"/>
      <c r="AH10" s="275"/>
      <c r="AI10" s="275"/>
      <c r="AJ10" s="275"/>
      <c r="AK10" s="275"/>
      <c r="AL10" s="275"/>
      <c r="AM10" s="276"/>
    </row>
    <row r="11" spans="2:40" ht="12.75" customHeight="1">
      <c r="B11" s="255" t="str">
        <f>IF('Filtered Data'!D1="L","",IF('Filtered Data'!D1="SC","",IF('Filtered Data'!D1="UA","","Rural Classification:")))</f>
        <v/>
      </c>
      <c r="C11" s="255"/>
      <c r="D11" s="255"/>
      <c r="E11" s="255"/>
      <c r="F11" s="255"/>
      <c r="G11" s="255"/>
      <c r="H11" s="255"/>
      <c r="I11" s="255"/>
      <c r="J11" s="3" t="str">
        <f>IF('Filtered Data'!D1="MD",'Filtered Data'!H3,IF('Filtered Data'!D1="SD",'Filtered Data'!H3,""))</f>
        <v/>
      </c>
      <c r="K11" s="3"/>
      <c r="W11" s="280" t="s">
        <v>366</v>
      </c>
      <c r="X11" s="281"/>
      <c r="Y11" s="281"/>
      <c r="Z11" s="281"/>
      <c r="AA11" s="281"/>
      <c r="AB11" s="281"/>
      <c r="AC11" s="281"/>
      <c r="AD11" s="281"/>
      <c r="AE11" s="281"/>
      <c r="AF11" s="281"/>
      <c r="AG11" s="281"/>
      <c r="AH11" s="281"/>
      <c r="AI11" s="281"/>
      <c r="AJ11" s="281"/>
      <c r="AK11" s="281"/>
      <c r="AL11" s="281"/>
      <c r="AM11" s="282"/>
    </row>
    <row r="12" spans="2:40" ht="12.75" customHeight="1">
      <c r="W12" s="262" t="s">
        <v>910</v>
      </c>
      <c r="X12" s="263"/>
      <c r="Y12" s="263"/>
      <c r="Z12" s="263"/>
      <c r="AA12" s="263"/>
      <c r="AB12" s="263"/>
      <c r="AC12" s="263"/>
      <c r="AD12" s="263"/>
      <c r="AE12" s="263"/>
      <c r="AF12" s="263"/>
      <c r="AG12" s="263"/>
      <c r="AH12" s="263"/>
      <c r="AI12" s="263"/>
      <c r="AJ12" s="263"/>
      <c r="AK12" s="263"/>
      <c r="AL12" s="263"/>
      <c r="AM12" s="264"/>
    </row>
    <row r="13" spans="2:40" ht="12.75" customHeight="1">
      <c r="B13" s="19"/>
      <c r="C13" s="19"/>
      <c r="D13" s="19"/>
      <c r="E13" s="19"/>
      <c r="F13" s="19"/>
      <c r="G13" s="19"/>
      <c r="H13" s="19"/>
      <c r="I13" s="19"/>
      <c r="J13" s="3"/>
      <c r="K13" s="3"/>
      <c r="L13" s="3"/>
      <c r="M13" s="3"/>
      <c r="N13" s="3"/>
      <c r="O13" s="3"/>
      <c r="P13" s="3"/>
      <c r="Q13" s="3"/>
      <c r="R13" s="3"/>
      <c r="W13" s="256" t="s">
        <v>367</v>
      </c>
      <c r="X13" s="257"/>
      <c r="Y13" s="257"/>
      <c r="Z13" s="257"/>
      <c r="AA13" s="257"/>
      <c r="AB13" s="257"/>
      <c r="AC13" s="257"/>
      <c r="AD13" s="257"/>
      <c r="AE13" s="257"/>
      <c r="AF13" s="257"/>
      <c r="AG13" s="257"/>
      <c r="AH13" s="257"/>
      <c r="AI13" s="257"/>
      <c r="AJ13" s="257"/>
      <c r="AK13" s="257"/>
      <c r="AL13" s="257"/>
      <c r="AM13" s="258"/>
    </row>
    <row r="14" spans="2:40" ht="25.5" customHeight="1">
      <c r="B14" s="19"/>
      <c r="C14" s="19"/>
      <c r="D14" s="19"/>
      <c r="E14" s="19"/>
      <c r="F14" s="19"/>
      <c r="G14" s="19"/>
      <c r="H14" s="19"/>
      <c r="I14" s="19"/>
      <c r="J14" s="3"/>
      <c r="K14" s="3"/>
      <c r="L14" s="3"/>
      <c r="M14" s="3"/>
      <c r="N14" s="3"/>
      <c r="O14" s="3"/>
      <c r="P14" s="3"/>
      <c r="Q14" s="3"/>
      <c r="R14" s="3"/>
      <c r="W14" s="277" t="str">
        <f>HLOOKUP(W6,Data!4:6,3,FALSE)</f>
        <v>ENV18 - DEFRA</v>
      </c>
      <c r="X14" s="278"/>
      <c r="Y14" s="278"/>
      <c r="Z14" s="278"/>
      <c r="AA14" s="278"/>
      <c r="AB14" s="278"/>
      <c r="AC14" s="278"/>
      <c r="AD14" s="278"/>
      <c r="AE14" s="278"/>
      <c r="AF14" s="278"/>
      <c r="AG14" s="278"/>
      <c r="AH14" s="278"/>
      <c r="AI14" s="278"/>
      <c r="AJ14" s="278"/>
      <c r="AK14" s="278"/>
      <c r="AL14" s="278"/>
      <c r="AM14" s="279"/>
    </row>
    <row r="15" spans="2:40"/>
    <row r="16" spans="2:40">
      <c r="B16" s="232" t="str">
        <f>W6&amp;" - "&amp;W12</f>
        <v>Residual household waste per household (kg/household) (Ex NI191) - 2022-23</v>
      </c>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85"/>
    </row>
    <row r="17" spans="2:42">
      <c r="B17" s="234"/>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86"/>
      <c r="AP17" s="60"/>
    </row>
    <row r="18" spans="2:42">
      <c r="B18" s="5"/>
      <c r="AM18" s="6"/>
      <c r="AP18" s="60"/>
    </row>
    <row r="19" spans="2:42">
      <c r="B19" s="5"/>
      <c r="AM19" s="6"/>
      <c r="AP19" s="60"/>
    </row>
    <row r="20" spans="2:42">
      <c r="B20" s="5"/>
      <c r="AM20" s="6"/>
      <c r="AP20" s="60"/>
    </row>
    <row r="21" spans="2:42">
      <c r="B21" s="5"/>
      <c r="D21" t="str">
        <f>IF('Filtered Data'!D8=".","",'Filtered Data'!D8)</f>
        <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89" t="s">
        <v>342</v>
      </c>
      <c r="F32" s="290"/>
      <c r="G32" s="290"/>
      <c r="H32" s="290"/>
      <c r="I32" s="290"/>
      <c r="J32" s="290"/>
      <c r="K32" s="254">
        <f>IF('Filtered Data'!$H$8="..",'Filtered Data'!O10,'Filtered Data'!O10/100)</f>
        <v>470.07499999999999</v>
      </c>
      <c r="L32" s="254"/>
      <c r="M32" s="254"/>
      <c r="N32" s="253" t="s">
        <v>353</v>
      </c>
      <c r="O32" s="253"/>
      <c r="P32" s="253"/>
      <c r="Q32" s="253"/>
      <c r="R32" s="253"/>
      <c r="S32" s="253"/>
      <c r="T32" s="254">
        <f>IF('Filtered Data'!$H$8="..",'Filtered Data'!P10,'Filtered Data'!P10/100)</f>
        <v>529.25</v>
      </c>
      <c r="U32" s="254"/>
      <c r="V32" s="254"/>
      <c r="W32" s="254"/>
      <c r="X32" s="287" t="s">
        <v>354</v>
      </c>
      <c r="Y32" s="287"/>
      <c r="Z32" s="287"/>
      <c r="AA32" s="287"/>
      <c r="AB32" s="287"/>
      <c r="AC32" s="254">
        <f>IF('Filtered Data'!$H$8="..",'Filtered Data'!Q10,'Filtered Data'!Q10/100)</f>
        <v>572.17499999999995</v>
      </c>
      <c r="AD32" s="254"/>
      <c r="AE32" s="254"/>
      <c r="AF32" s="259" t="s">
        <v>343</v>
      </c>
      <c r="AG32" s="259"/>
      <c r="AH32" s="259"/>
      <c r="AI32" s="259"/>
      <c r="AJ32" s="259"/>
      <c r="AK32" s="259"/>
      <c r="AL32" s="259"/>
      <c r="AM32" s="9"/>
      <c r="AP32" s="60"/>
    </row>
    <row r="33" spans="2:16384">
      <c r="B33" s="4" t="str">
        <f>"The graph &amp; quartile information show data for all "&amp;V37&amp;" "&amp;VLOOKUP('Filtered Data'!D1,'Filtered Data'!L1:O6,3,FALSE)&amp;" councils in England."</f>
        <v>The graph &amp; quartile information show data for all 58 Unitary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Cheshire East</v>
      </c>
      <c r="C35" s="98"/>
      <c r="D35" s="98"/>
      <c r="E35" s="98"/>
      <c r="F35" s="98"/>
      <c r="G35" s="98"/>
      <c r="H35" s="98"/>
      <c r="I35" s="98"/>
      <c r="J35" s="98"/>
      <c r="K35" s="99" t="s">
        <v>357</v>
      </c>
      <c r="L35" s="284">
        <f>IF(ISERROR(IF('Filtered Data'!$H$8="%.",(VLOOKUP(J5,'Filtered Data'!C:H,4,FALSE))/100,(VLOOKUP(J5,'Filtered Data'!C:H,4,FALSE)))),"",(IF('Filtered Data'!$H$8="%.",(VLOOKUP(J5,'Filtered Data'!C:H,4,FALSE))/100,(VLOOKUP(J5,'Filtered Data'!C:H,4,FALSE)))))</f>
        <v>467.1</v>
      </c>
      <c r="M35" s="284"/>
      <c r="N35" s="284"/>
      <c r="O35" s="284"/>
      <c r="P35" s="100"/>
      <c r="Q35" s="284" t="s">
        <v>355</v>
      </c>
      <c r="R35" s="284"/>
      <c r="S35" s="284"/>
      <c r="T35" s="284"/>
      <c r="U35" s="284"/>
      <c r="V35" s="284"/>
      <c r="W35" s="284"/>
      <c r="AP35" s="60"/>
    </row>
    <row r="36" spans="2:16384" ht="12.75" customHeight="1">
      <c r="B36" s="283" t="str">
        <f>'Filtered Data'!R8&amp;" Quartile"</f>
        <v>Top Quartile</v>
      </c>
      <c r="C36" s="283"/>
      <c r="D36" s="283"/>
      <c r="E36" s="283"/>
      <c r="F36" s="283"/>
      <c r="G36" s="283"/>
      <c r="H36" s="283"/>
      <c r="I36" s="283"/>
      <c r="J36" s="283"/>
      <c r="K36" s="283"/>
      <c r="L36" s="283"/>
      <c r="M36" s="283"/>
      <c r="N36" s="283"/>
      <c r="O36" s="283"/>
      <c r="P36" s="283"/>
      <c r="Q36" s="283"/>
      <c r="R36" s="283"/>
      <c r="S36" s="283"/>
      <c r="T36" s="283"/>
      <c r="U36" s="283"/>
      <c r="V36" s="283"/>
      <c r="W36" s="283"/>
      <c r="Z36" s="17" t="s">
        <v>359</v>
      </c>
      <c r="AB36" s="267" t="s">
        <v>361</v>
      </c>
      <c r="AC36" s="267"/>
      <c r="AD36" s="267"/>
      <c r="AE36" s="267"/>
      <c r="AF36" s="267"/>
      <c r="AG36" s="267"/>
      <c r="AH36" s="267"/>
      <c r="AI36" s="267"/>
      <c r="AJ36" s="267"/>
      <c r="AK36" s="267"/>
      <c r="AL36" s="267"/>
      <c r="AM36" s="118"/>
      <c r="AP36" s="60"/>
    </row>
    <row r="37" spans="2:16384" ht="12.75" customHeight="1">
      <c r="B37" s="101" t="str">
        <f>VLOOKUP('Filtered Data'!D1,'Filtered Data'!L1:O6,2,FALSE)</f>
        <v>Unitaries</v>
      </c>
      <c r="C37" s="101"/>
      <c r="D37" s="101"/>
      <c r="E37" s="101"/>
      <c r="F37" s="101"/>
      <c r="G37" s="101"/>
      <c r="H37" s="101"/>
      <c r="I37" s="101"/>
      <c r="J37" s="268" t="s">
        <v>801</v>
      </c>
      <c r="K37" s="102" t="str">
        <f>IF(Q37="","",IF('Filtered Data'!I8="D",IF($L$35&gt;=L37,"J","L"),IF('Filtered Data'!I8="A",IF($L$35&lt;=L37,"J","L"))))</f>
        <v>J</v>
      </c>
      <c r="L37" s="241">
        <f>'Filtered Data'!M9</f>
        <v>520.51896551724133</v>
      </c>
      <c r="M37" s="241"/>
      <c r="N37" s="241"/>
      <c r="O37" s="241"/>
      <c r="P37" s="103"/>
      <c r="Q37" s="240">
        <f>VLOOKUP(J5,'Filtered Data'!C:I,7,FALSE)</f>
        <v>14</v>
      </c>
      <c r="R37" s="240"/>
      <c r="S37" s="104"/>
      <c r="T37" s="105" t="s">
        <v>356</v>
      </c>
      <c r="U37" s="106"/>
      <c r="V37" s="240">
        <f>COUNT('Filtered Data'!I11:I343)</f>
        <v>58</v>
      </c>
      <c r="W37" s="240"/>
      <c r="AB37" s="267"/>
      <c r="AC37" s="267"/>
      <c r="AD37" s="267"/>
      <c r="AE37" s="267"/>
      <c r="AF37" s="267"/>
      <c r="AG37" s="267"/>
      <c r="AH37" s="267"/>
      <c r="AI37" s="267"/>
      <c r="AJ37" s="267"/>
      <c r="AK37" s="267"/>
      <c r="AL37" s="267"/>
      <c r="AM37" s="118"/>
      <c r="AP37" s="60"/>
    </row>
    <row r="38" spans="2:16384">
      <c r="B38" s="101" t="str">
        <f>IF('Filtered Data'!D1="L","Family",IF('Filtered Data'!D1="SD",VLOOKUP(J5,classifications!C:J,6,FALSE),"Rural"))</f>
        <v>Rural</v>
      </c>
      <c r="C38" s="101"/>
      <c r="D38" s="101"/>
      <c r="E38" s="101"/>
      <c r="F38" s="101"/>
      <c r="G38" s="101"/>
      <c r="H38" s="101"/>
      <c r="I38" s="101"/>
      <c r="J38" s="269"/>
      <c r="K38" s="102" t="str">
        <f>IF(Q38="","",IF('Filtered Data'!I8="D",IF($L$35&gt;=L38,"J","L"),IF('Filtered Data'!I8="A",IF($L$35&lt;=L38,"J","L"))))</f>
        <v>J</v>
      </c>
      <c r="L38" s="241">
        <f>IF('Filtered Data'!D1="L",'Filtered Data'!AG9,'Filtered Data'!Y9)</f>
        <v>492.68999999999988</v>
      </c>
      <c r="M38" s="241"/>
      <c r="N38" s="241"/>
      <c r="O38" s="241"/>
      <c r="P38" s="103"/>
      <c r="Q38" s="266">
        <f>IF(ISERROR(IF('Filtered Data'!D1="L",VLOOKUP(J5,'Filtered Data'!AF11:AH26,3,FALSE),VLOOKUP(J5,'Filtered Data'!$L$11:$Z$355,15,FALSE))),"",(IF('Filtered Data'!D1="L",VLOOKUP(J5,'Filtered Data'!AF11:AH26,3,FALSE),VLOOKUP(J5,'Filtered Data'!$L$11:$Z$355,15,FALSE))))</f>
        <v>7</v>
      </c>
      <c r="R38" s="266"/>
      <c r="S38" s="241" t="s">
        <v>356</v>
      </c>
      <c r="T38" s="241"/>
      <c r="U38" s="241"/>
      <c r="V38" s="240">
        <f>IF('Filtered Data'!D1="L",16,COUNT('Filtered Data'!Z:Z))</f>
        <v>20</v>
      </c>
      <c r="W38" s="240"/>
      <c r="AB38" s="118"/>
      <c r="AC38" s="118"/>
      <c r="AD38" s="118"/>
      <c r="AE38" s="118"/>
      <c r="AF38" s="118"/>
      <c r="AG38" s="118"/>
      <c r="AH38" s="118"/>
      <c r="AI38" s="118"/>
      <c r="AJ38" s="118"/>
      <c r="AK38" s="118"/>
      <c r="AL38" s="118"/>
      <c r="AM38" s="118"/>
      <c r="AP38" s="60"/>
    </row>
    <row r="39" spans="2:16384">
      <c r="B39" s="101" t="str">
        <f>IF('Filtered Data'!D1="L","",IF('Filtered Data'!D1="SD",J10,"Regional"))</f>
        <v>Regional</v>
      </c>
      <c r="C39" s="101"/>
      <c r="D39" s="101"/>
      <c r="E39" s="101"/>
      <c r="F39" s="101"/>
      <c r="G39" s="101"/>
      <c r="H39" s="101"/>
      <c r="I39" s="101"/>
      <c r="J39" s="269"/>
      <c r="K39" s="102" t="str">
        <f>IF(Q39="","",IF('Filtered Data'!I8="D",IF($L$35&gt;=L39,"J","L"),IF('Filtered Data'!I8="A",IF($L$35&lt;=L39,"J","L"))))</f>
        <v>J</v>
      </c>
      <c r="L39" s="241">
        <f>IF('Filtered Data'!D1="L","",IF('Filtered Data'!D1="SD",'Filtered Data'!AJ9,'Filtered Data'!AQ9))</f>
        <v>509.75000000000006</v>
      </c>
      <c r="M39" s="241"/>
      <c r="N39" s="241"/>
      <c r="O39" s="241"/>
      <c r="P39" s="103"/>
      <c r="Q39" s="240">
        <f>IF(ISERROR(IF('Filtered Data'!D1="L","",IF('Filtered Data'!D1="SD",VLOOKUP(J5,'Filtered Data'!L:AK,26,FALSE),(VLOOKUP(J5,'Filtered Data'!L:AR,33,FALSE))))),"",(IF('Filtered Data'!D1="L","",IF('Filtered Data'!D1="SD",VLOOKUP(J5,'Filtered Data'!L:AK,26,FALSE),(VLOOKUP(J5,'Filtered Data'!L:AR,33,FALSE))))))</f>
        <v>2</v>
      </c>
      <c r="R39" s="240"/>
      <c r="S39" s="104"/>
      <c r="T39" s="106" t="str">
        <f>IF(B39="","","out of")</f>
        <v>out of</v>
      </c>
      <c r="U39" s="106"/>
      <c r="V39" s="240">
        <f>IF('Filtered Data'!D1="L","",IF('Filtered Data'!D1="SD",COUNT('Filtered Data'!AK11:AK343),(COUNT('Filtered Data'!AQ11:AQ343))))</f>
        <v>6</v>
      </c>
      <c r="W39" s="240"/>
      <c r="Z39" s="11" t="s">
        <v>360</v>
      </c>
      <c r="AB39" s="267" t="s">
        <v>362</v>
      </c>
      <c r="AC39" s="267"/>
      <c r="AD39" s="267"/>
      <c r="AE39" s="267"/>
      <c r="AF39" s="267"/>
      <c r="AG39" s="267"/>
      <c r="AH39" s="267"/>
      <c r="AI39" s="267"/>
      <c r="AJ39" s="267"/>
      <c r="AK39" s="267"/>
      <c r="AL39" s="267"/>
      <c r="AM39" s="267"/>
      <c r="AP39" s="60"/>
    </row>
    <row r="40" spans="2:16384" ht="12.75" customHeight="1">
      <c r="B40" s="114"/>
      <c r="C40" s="114"/>
      <c r="D40" s="114"/>
      <c r="E40" s="114"/>
      <c r="F40" s="114"/>
      <c r="G40" s="114"/>
      <c r="H40" s="114"/>
      <c r="I40" s="114"/>
      <c r="J40" s="113"/>
      <c r="K40" s="115"/>
      <c r="L40" s="260"/>
      <c r="M40" s="260"/>
      <c r="N40" s="260"/>
      <c r="O40" s="260"/>
      <c r="P40" s="116"/>
      <c r="Q40" s="230"/>
      <c r="R40" s="230"/>
      <c r="S40" s="260"/>
      <c r="T40" s="261"/>
      <c r="U40" s="261"/>
      <c r="V40" s="230"/>
      <c r="W40" s="230"/>
      <c r="AB40" s="267"/>
      <c r="AC40" s="267"/>
      <c r="AD40" s="267"/>
      <c r="AE40" s="267"/>
      <c r="AF40" s="267"/>
      <c r="AG40" s="267"/>
      <c r="AH40" s="267"/>
      <c r="AI40" s="267"/>
      <c r="AJ40" s="267"/>
      <c r="AK40" s="267"/>
      <c r="AL40" s="267"/>
      <c r="AM40" s="267"/>
      <c r="AP40" s="60"/>
    </row>
    <row r="41" spans="2:16384">
      <c r="B41" s="211"/>
      <c r="C41" s="211"/>
      <c r="D41" s="211"/>
      <c r="E41" s="211"/>
      <c r="F41" s="211"/>
      <c r="G41" s="211"/>
      <c r="H41" s="211"/>
      <c r="I41" s="211"/>
      <c r="J41" s="113"/>
      <c r="K41" s="212" t="str">
        <f>IF(B41="","",IF('Filtered Data'!D1="UA","",(IF($L$35&gt;=L41,"J","L"))))</f>
        <v/>
      </c>
      <c r="L41" s="251"/>
      <c r="M41" s="251"/>
      <c r="N41" s="251"/>
      <c r="O41" s="251"/>
      <c r="P41" s="213"/>
      <c r="Q41" s="270"/>
      <c r="R41" s="270"/>
      <c r="S41" s="265"/>
      <c r="T41" s="265"/>
      <c r="U41" s="265"/>
      <c r="V41" s="270"/>
      <c r="W41" s="270"/>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47" t="s">
        <v>358</v>
      </c>
      <c r="C43" s="248"/>
      <c r="D43" s="248"/>
      <c r="E43" s="248"/>
      <c r="F43" s="248"/>
      <c r="G43" s="248"/>
      <c r="H43" s="248"/>
      <c r="I43" s="248"/>
      <c r="J43" s="248"/>
      <c r="K43" s="248"/>
      <c r="L43" s="248"/>
      <c r="M43" s="248"/>
      <c r="N43" s="248"/>
      <c r="O43" s="243" t="str">
        <f>W6&amp;" - "&amp;W12</f>
        <v>Residual household waste per household (kg/household) (Ex NI191) - 2022-23</v>
      </c>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4"/>
      <c r="AP43" s="60"/>
    </row>
    <row r="44" spans="2:16384">
      <c r="B44" s="249"/>
      <c r="C44" s="250"/>
      <c r="D44" s="250"/>
      <c r="E44" s="250"/>
      <c r="F44" s="250"/>
      <c r="G44" s="250"/>
      <c r="H44" s="250"/>
      <c r="I44" s="250"/>
      <c r="J44" s="250"/>
      <c r="K44" s="250"/>
      <c r="L44" s="250"/>
      <c r="M44" s="250"/>
      <c r="N44" s="250"/>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6"/>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Cheshire East</v>
      </c>
      <c r="E48" s="227">
        <f>IF('Filtered Data'!$H$8="..",L35,L35*100)</f>
        <v>467.1</v>
      </c>
      <c r="F48" s="227"/>
      <c r="G48" s="227"/>
      <c r="H48" s="227"/>
      <c r="K48" s="223">
        <f>IF('Filtered Data'!$H$8="..",K$32,K$32*100)</f>
        <v>470.07499999999999</v>
      </c>
      <c r="L48" s="223"/>
      <c r="M48" s="223">
        <f>IF('Filtered Data'!$H$8="..",T$32,T$32*100)</f>
        <v>529.25</v>
      </c>
      <c r="N48" s="223"/>
      <c r="O48" s="223">
        <f>IF('Filtered Data'!$H$8="..",AC$32,AC$32*100)</f>
        <v>572.17499999999995</v>
      </c>
      <c r="P48" s="223"/>
      <c r="AM48" s="6"/>
      <c r="AP48" s="60"/>
    </row>
    <row r="49" spans="2:42">
      <c r="B49" s="5"/>
      <c r="D49" t="str">
        <f>B37</f>
        <v>Unitaries</v>
      </c>
      <c r="E49" s="227">
        <f>IF('Filtered Data'!$H$8="..",L37,L37*100)</f>
        <v>520.51896551724133</v>
      </c>
      <c r="F49" s="227"/>
      <c r="G49" s="227"/>
      <c r="H49" s="227"/>
      <c r="K49" s="223">
        <f>IF('Filtered Data'!$H$8="..",K$32,K$32*100)</f>
        <v>470.07499999999999</v>
      </c>
      <c r="L49" s="223"/>
      <c r="M49" s="223">
        <f>IF('Filtered Data'!$H$8="..",T$32,T$32*100)</f>
        <v>529.25</v>
      </c>
      <c r="N49" s="223"/>
      <c r="O49" s="223">
        <f>IF('Filtered Data'!$H$8="..",AC$32,AC$32*100)</f>
        <v>572.17499999999995</v>
      </c>
      <c r="P49" s="223"/>
      <c r="AM49" s="6"/>
      <c r="AP49" s="60"/>
    </row>
    <row r="50" spans="2:42">
      <c r="B50" s="5"/>
      <c r="D50" s="69" t="str">
        <f>B39</f>
        <v>Regional</v>
      </c>
      <c r="E50" s="227">
        <f>IF('Filtered Data'!$H$8="..",L39,L39*100)</f>
        <v>509.75000000000006</v>
      </c>
      <c r="F50" s="227"/>
      <c r="G50" s="227"/>
      <c r="H50" s="227"/>
      <c r="K50" s="223">
        <f>IF('Filtered Data'!$H$8="..",K$32,K$32*100)</f>
        <v>470.07499999999999</v>
      </c>
      <c r="L50" s="223"/>
      <c r="M50" s="223">
        <f>IF('Filtered Data'!$H$8="..",T$32,T$32*100)</f>
        <v>529.25</v>
      </c>
      <c r="N50" s="223"/>
      <c r="O50" s="223">
        <f>IF('Filtered Data'!$H$8="..",AC$32,AC$32*100)</f>
        <v>572.17499999999995</v>
      </c>
      <c r="P50" s="223"/>
      <c r="AM50" s="6"/>
      <c r="AP50" s="60"/>
    </row>
    <row r="51" spans="2:42">
      <c r="B51" s="5"/>
      <c r="D51" s="214" t="str">
        <f>B38</f>
        <v>Rural</v>
      </c>
      <c r="E51" s="227">
        <f>IF('Filtered Data'!$H$8="..",L38,L38*100)</f>
        <v>492.68999999999988</v>
      </c>
      <c r="F51" s="227"/>
      <c r="G51" s="227"/>
      <c r="H51" s="227"/>
      <c r="K51" s="223">
        <f>IF('Filtered Data'!$H$8="..",K$32,K$32*100)</f>
        <v>470.07499999999999</v>
      </c>
      <c r="L51" s="223"/>
      <c r="M51" s="223">
        <f>IF('Filtered Data'!$H$8="..",T$32,T$32*100)</f>
        <v>529.25</v>
      </c>
      <c r="N51" s="223"/>
      <c r="O51" s="223">
        <f>IF('Filtered Data'!$H$8="..",AC$32,AC$32*100)</f>
        <v>572.17499999999995</v>
      </c>
      <c r="P51" s="223"/>
      <c r="AM51" s="6"/>
      <c r="AP51" s="60"/>
    </row>
    <row r="52" spans="2:42">
      <c r="B52" s="5"/>
      <c r="E52" s="227"/>
      <c r="F52" s="227"/>
      <c r="G52" s="227"/>
      <c r="H52" s="227"/>
      <c r="K52" s="223"/>
      <c r="L52" s="223"/>
      <c r="M52" s="223"/>
      <c r="N52" s="223"/>
      <c r="O52" s="223"/>
      <c r="P52" s="223"/>
      <c r="AM52" s="6"/>
      <c r="AP52" s="60"/>
    </row>
    <row r="53" spans="2:42">
      <c r="B53" s="5"/>
      <c r="E53" s="228"/>
      <c r="F53" s="228"/>
      <c r="G53" s="228"/>
      <c r="H53" s="228"/>
      <c r="K53" s="223"/>
      <c r="L53" s="223"/>
      <c r="M53" s="223"/>
      <c r="N53" s="223"/>
      <c r="O53" s="223"/>
      <c r="P53" s="223"/>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26" t="str">
        <f>B3</f>
        <v>Waste Management Indicators</v>
      </c>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P59" s="60"/>
    </row>
    <row r="60" spans="2:42">
      <c r="AP60" s="60"/>
    </row>
    <row r="61" spans="2:42" ht="12" customHeight="1">
      <c r="B61" s="1" t="str">
        <f>W6&amp;" - "&amp;W12</f>
        <v>Residual household waste per household (kg/household) (Ex NI191) - 2022-23</v>
      </c>
      <c r="AP61" s="60"/>
    </row>
    <row r="62" spans="2:42" ht="12" customHeight="1">
      <c r="AP62" s="60"/>
    </row>
    <row r="63" spans="2:42" ht="12" customHeight="1">
      <c r="B63" s="1" t="s">
        <v>364</v>
      </c>
      <c r="AP63" s="60"/>
    </row>
    <row r="64" spans="2:42" ht="12" customHeight="1">
      <c r="AP64" s="60"/>
    </row>
    <row r="65" spans="2:42" ht="12" customHeight="1">
      <c r="B65" s="221" t="s">
        <v>355</v>
      </c>
      <c r="C65" s="221"/>
      <c r="D65" s="221"/>
      <c r="E65" s="229" t="s">
        <v>334</v>
      </c>
      <c r="F65" s="229"/>
      <c r="G65" s="229"/>
      <c r="H65" s="229"/>
      <c r="I65" s="229"/>
      <c r="J65" s="229"/>
      <c r="K65" s="229"/>
      <c r="L65" s="229"/>
      <c r="M65" s="229"/>
      <c r="N65" s="229"/>
      <c r="O65" s="229"/>
      <c r="P65" s="229"/>
      <c r="Q65" s="229"/>
      <c r="R65" s="229"/>
      <c r="S65" s="229"/>
      <c r="T65" s="229"/>
      <c r="U65" s="221" t="s">
        <v>365</v>
      </c>
      <c r="V65" s="221"/>
      <c r="W65" s="221"/>
      <c r="X65" s="221"/>
      <c r="Y65" s="1"/>
      <c r="Z65" s="1"/>
      <c r="AA65" s="1"/>
      <c r="AB65" s="1"/>
      <c r="AC65" s="4"/>
      <c r="AD65" s="1"/>
      <c r="AE65" s="1"/>
      <c r="AF65" s="1"/>
      <c r="AG65" s="1"/>
      <c r="AI65" s="1"/>
      <c r="AJ65" s="1"/>
      <c r="AK65" s="1"/>
      <c r="AL65" s="1"/>
      <c r="AP65" s="60"/>
    </row>
    <row r="66" spans="2:42" ht="12" customHeight="1">
      <c r="B66" s="222">
        <v>1</v>
      </c>
      <c r="C66" s="223"/>
      <c r="D66" s="223"/>
      <c r="E66" s="220" t="str">
        <f>VLOOKUP(B66,'Filtered Data'!K:L,2,FALSE)</f>
        <v>Reading</v>
      </c>
      <c r="F66" s="220"/>
      <c r="G66" s="220"/>
      <c r="H66" s="220"/>
      <c r="I66" s="220"/>
      <c r="J66" s="220"/>
      <c r="K66" s="220"/>
      <c r="L66" s="220"/>
      <c r="M66" s="220"/>
      <c r="N66" s="220"/>
      <c r="O66" s="220"/>
      <c r="P66" s="220"/>
      <c r="Q66" s="220"/>
      <c r="R66" s="220"/>
      <c r="S66" s="220"/>
      <c r="T66" s="220"/>
      <c r="U66" s="219">
        <f>IF('Filtered Data'!$H$8="%.",(VLOOKUP(B66,'Filtered Data'!K:M,3,FALSE))/100,VLOOKUP(B66,'Filtered Data'!K:M,3,FALSE))</f>
        <v>353</v>
      </c>
      <c r="V66" s="219"/>
      <c r="W66" s="219"/>
      <c r="X66" s="219"/>
      <c r="Y66" s="136" t="str">
        <f>IF((VLOOKUP(E66,classifications!C:K,9,FALSE))="Sparse","S","")</f>
        <v/>
      </c>
      <c r="Z66" s="136"/>
      <c r="AA66" s="136"/>
      <c r="AB66" s="136"/>
      <c r="AC66" s="136"/>
      <c r="AD66" s="239"/>
      <c r="AE66" s="239"/>
      <c r="AF66" s="239"/>
      <c r="AG66" s="239"/>
      <c r="AH66" s="239"/>
      <c r="AI66" s="239"/>
      <c r="AJ66" s="239"/>
      <c r="AK66" s="239"/>
      <c r="AL66" s="239"/>
      <c r="AP66" s="60"/>
    </row>
    <row r="67" spans="2:42" ht="12" customHeight="1">
      <c r="B67" s="222">
        <v>2</v>
      </c>
      <c r="C67" s="223"/>
      <c r="D67" s="223"/>
      <c r="E67" s="220" t="str">
        <f>VLOOKUP(B67,'Filtered Data'!K:L,2,FALSE)</f>
        <v>Bath &amp; North East Somerset</v>
      </c>
      <c r="F67" s="220"/>
      <c r="G67" s="220"/>
      <c r="H67" s="220"/>
      <c r="I67" s="220"/>
      <c r="J67" s="220"/>
      <c r="K67" s="220"/>
      <c r="L67" s="220"/>
      <c r="M67" s="220"/>
      <c r="N67" s="220"/>
      <c r="O67" s="220"/>
      <c r="P67" s="220"/>
      <c r="Q67" s="220"/>
      <c r="R67" s="220"/>
      <c r="S67" s="220"/>
      <c r="T67" s="220"/>
      <c r="U67" s="219">
        <f>IF('Filtered Data'!$H$8="%.",(VLOOKUP(B67,'Filtered Data'!K:M,3,FALSE))/100,VLOOKUP(B67,'Filtered Data'!K:M,3,FALSE))</f>
        <v>354</v>
      </c>
      <c r="V67" s="219"/>
      <c r="W67" s="219"/>
      <c r="X67" s="219"/>
      <c r="Y67" s="136" t="str">
        <f>IF((VLOOKUP(E67,classifications!C:K,9,FALSE))="Sparse","S","")</f>
        <v/>
      </c>
      <c r="Z67" s="136"/>
      <c r="AA67" s="136"/>
      <c r="AB67" s="136"/>
      <c r="AC67" s="136"/>
      <c r="AD67" s="239"/>
      <c r="AE67" s="239"/>
      <c r="AF67" s="239"/>
      <c r="AG67" s="239"/>
      <c r="AH67" s="239"/>
      <c r="AI67" s="239"/>
      <c r="AJ67" s="239"/>
      <c r="AK67" s="239"/>
      <c r="AL67" s="239"/>
      <c r="AP67" s="60"/>
    </row>
    <row r="68" spans="2:42" ht="12" customHeight="1">
      <c r="B68" s="222">
        <v>3</v>
      </c>
      <c r="C68" s="223"/>
      <c r="D68" s="223"/>
      <c r="E68" s="220" t="str">
        <f>VLOOKUP(B68,'Filtered Data'!K:L,2,FALSE)</f>
        <v>North Somerset</v>
      </c>
      <c r="F68" s="220"/>
      <c r="G68" s="220"/>
      <c r="H68" s="220"/>
      <c r="I68" s="220"/>
      <c r="J68" s="220"/>
      <c r="K68" s="220"/>
      <c r="L68" s="220"/>
      <c r="M68" s="220"/>
      <c r="N68" s="220"/>
      <c r="O68" s="220"/>
      <c r="P68" s="220"/>
      <c r="Q68" s="220"/>
      <c r="R68" s="220"/>
      <c r="S68" s="220"/>
      <c r="T68" s="220"/>
      <c r="U68" s="219">
        <f>IF('Filtered Data'!$H$8="%.",(VLOOKUP(B68,'Filtered Data'!K:M,3,FALSE))/100,VLOOKUP(B68,'Filtered Data'!K:M,3,FALSE))</f>
        <v>373.6</v>
      </c>
      <c r="V68" s="219"/>
      <c r="W68" s="219"/>
      <c r="X68" s="219"/>
      <c r="Y68" s="136" t="str">
        <f>IF((VLOOKUP(E68,classifications!C:K,9,FALSE))="Sparse","S","")</f>
        <v>S</v>
      </c>
      <c r="Z68" s="136"/>
      <c r="AA68" s="136"/>
      <c r="AB68" s="136"/>
      <c r="AC68" s="136"/>
      <c r="AD68" s="239"/>
      <c r="AE68" s="239"/>
      <c r="AF68" s="239"/>
      <c r="AG68" s="239"/>
      <c r="AH68" s="239"/>
      <c r="AI68" s="239"/>
      <c r="AJ68" s="239"/>
      <c r="AK68" s="239"/>
      <c r="AL68" s="239"/>
      <c r="AP68" s="60"/>
    </row>
    <row r="69" spans="2:42" ht="12" customHeight="1">
      <c r="B69" s="222">
        <v>4</v>
      </c>
      <c r="C69" s="223"/>
      <c r="D69" s="223"/>
      <c r="E69" s="220" t="str">
        <f>VLOOKUP(B69,'Filtered Data'!K:L,2,FALSE)</f>
        <v>South Gloucestershire</v>
      </c>
      <c r="F69" s="220"/>
      <c r="G69" s="220"/>
      <c r="H69" s="220"/>
      <c r="I69" s="220"/>
      <c r="J69" s="220"/>
      <c r="K69" s="220"/>
      <c r="L69" s="220"/>
      <c r="M69" s="220"/>
      <c r="N69" s="220"/>
      <c r="O69" s="220"/>
      <c r="P69" s="220"/>
      <c r="Q69" s="220"/>
      <c r="R69" s="220"/>
      <c r="S69" s="220"/>
      <c r="T69" s="220"/>
      <c r="U69" s="219">
        <f>IF('Filtered Data'!$H$8="%.",(VLOOKUP(B69,'Filtered Data'!K:M,3,FALSE))/100,VLOOKUP(B69,'Filtered Data'!K:M,3,FALSE))</f>
        <v>377.7</v>
      </c>
      <c r="V69" s="219"/>
      <c r="W69" s="219"/>
      <c r="X69" s="219"/>
      <c r="Y69" s="136" t="str">
        <f>IF((VLOOKUP(E69,classifications!C:K,9,FALSE))="Sparse","S","")</f>
        <v/>
      </c>
      <c r="Z69" s="136"/>
      <c r="AA69" s="136"/>
      <c r="AB69" s="136"/>
      <c r="AC69" s="136"/>
      <c r="AD69" s="239"/>
      <c r="AE69" s="239"/>
      <c r="AF69" s="239"/>
      <c r="AG69" s="239"/>
      <c r="AH69" s="239"/>
      <c r="AI69" s="239"/>
      <c r="AJ69" s="239"/>
      <c r="AK69" s="239"/>
      <c r="AL69" s="239"/>
      <c r="AP69" s="60"/>
    </row>
    <row r="70" spans="2:42" ht="12" customHeight="1">
      <c r="B70" s="222">
        <v>5</v>
      </c>
      <c r="C70" s="223"/>
      <c r="D70" s="223"/>
      <c r="E70" s="220" t="str">
        <f>VLOOKUP(B70,'Filtered Data'!K:L,2,FALSE)</f>
        <v>Dorset</v>
      </c>
      <c r="F70" s="220"/>
      <c r="G70" s="220"/>
      <c r="H70" s="220"/>
      <c r="I70" s="220"/>
      <c r="J70" s="220"/>
      <c r="K70" s="220"/>
      <c r="L70" s="220"/>
      <c r="M70" s="220"/>
      <c r="N70" s="220"/>
      <c r="O70" s="220"/>
      <c r="P70" s="220"/>
      <c r="Q70" s="220"/>
      <c r="R70" s="220"/>
      <c r="S70" s="220"/>
      <c r="T70" s="220"/>
      <c r="U70" s="219">
        <f>IF('Filtered Data'!$H$8="%.",(VLOOKUP(B70,'Filtered Data'!K:M,3,FALSE))/100,VLOOKUP(B70,'Filtered Data'!K:M,3,FALSE))</f>
        <v>377.9</v>
      </c>
      <c r="V70" s="219"/>
      <c r="W70" s="219"/>
      <c r="X70" s="219"/>
      <c r="Y70" s="136" t="str">
        <f>IF((VLOOKUP(E70,classifications!C:K,9,FALSE))="Sparse","S","")</f>
        <v/>
      </c>
      <c r="Z70" s="136"/>
      <c r="AA70" s="136"/>
      <c r="AB70" s="136"/>
      <c r="AC70" s="136"/>
      <c r="AD70" s="239"/>
      <c r="AE70" s="239"/>
      <c r="AF70" s="239"/>
      <c r="AG70" s="239"/>
      <c r="AH70" s="239"/>
      <c r="AI70" s="239"/>
      <c r="AJ70" s="239"/>
      <c r="AK70" s="239"/>
      <c r="AL70" s="239"/>
      <c r="AP70" s="60"/>
    </row>
    <row r="71" spans="2:42" ht="12" customHeight="1">
      <c r="B71" s="222">
        <v>6</v>
      </c>
      <c r="C71" s="223"/>
      <c r="D71" s="223"/>
      <c r="E71" s="220" t="str">
        <f>VLOOKUP(B71,'Filtered Data'!K:L,2,FALSE)</f>
        <v>Bracknell Forest</v>
      </c>
      <c r="F71" s="220"/>
      <c r="G71" s="220"/>
      <c r="H71" s="220"/>
      <c r="I71" s="220"/>
      <c r="J71" s="220"/>
      <c r="K71" s="220"/>
      <c r="L71" s="220"/>
      <c r="M71" s="220"/>
      <c r="N71" s="220"/>
      <c r="O71" s="220"/>
      <c r="P71" s="220"/>
      <c r="Q71" s="220"/>
      <c r="R71" s="220"/>
      <c r="S71" s="220"/>
      <c r="T71" s="220"/>
      <c r="U71" s="219">
        <f>IF('Filtered Data'!$H$8="%.",(VLOOKUP(B71,'Filtered Data'!K:M,3,FALSE))/100,VLOOKUP(B71,'Filtered Data'!K:M,3,FALSE))</f>
        <v>392.2</v>
      </c>
      <c r="V71" s="219"/>
      <c r="W71" s="219"/>
      <c r="X71" s="219"/>
      <c r="Y71" s="136" t="str">
        <f>IF((VLOOKUP(E71,classifications!C:K,9,FALSE))="Sparse","S","")</f>
        <v/>
      </c>
      <c r="Z71" s="136"/>
      <c r="AA71" s="136"/>
      <c r="AB71" s="136"/>
      <c r="AC71" s="136"/>
      <c r="AD71" s="239"/>
      <c r="AE71" s="239"/>
      <c r="AF71" s="239"/>
      <c r="AG71" s="239"/>
      <c r="AH71" s="239"/>
      <c r="AI71" s="239"/>
      <c r="AJ71" s="239"/>
      <c r="AK71" s="239"/>
      <c r="AL71" s="239"/>
      <c r="AP71" s="60"/>
    </row>
    <row r="72" spans="2:42" ht="12" customHeight="1">
      <c r="B72" s="222">
        <v>7</v>
      </c>
      <c r="C72" s="223"/>
      <c r="D72" s="223"/>
      <c r="E72" s="220" t="str">
        <f>VLOOKUP(B72,'Filtered Data'!K:L,2,FALSE)</f>
        <v>Isle of Wight</v>
      </c>
      <c r="F72" s="220"/>
      <c r="G72" s="220"/>
      <c r="H72" s="220"/>
      <c r="I72" s="220"/>
      <c r="J72" s="220"/>
      <c r="K72" s="220"/>
      <c r="L72" s="220"/>
      <c r="M72" s="220"/>
      <c r="N72" s="220"/>
      <c r="O72" s="220"/>
      <c r="P72" s="220"/>
      <c r="Q72" s="220"/>
      <c r="R72" s="220"/>
      <c r="S72" s="220"/>
      <c r="T72" s="220"/>
      <c r="U72" s="219">
        <f>IF('Filtered Data'!$H$8="%.",(VLOOKUP(B72,'Filtered Data'!K:M,3,FALSE))/100,VLOOKUP(B72,'Filtered Data'!K:M,3,FALSE))</f>
        <v>397.1</v>
      </c>
      <c r="V72" s="219"/>
      <c r="W72" s="219"/>
      <c r="X72" s="219"/>
      <c r="Y72" s="136" t="str">
        <f>IF((VLOOKUP(E72,classifications!C:K,9,FALSE))="Sparse","S","")</f>
        <v>S</v>
      </c>
      <c r="Z72" s="136"/>
      <c r="AA72" s="136"/>
      <c r="AB72" s="136"/>
      <c r="AC72" s="136"/>
      <c r="AD72" s="239"/>
      <c r="AE72" s="239"/>
      <c r="AF72" s="239"/>
      <c r="AG72" s="239"/>
      <c r="AH72" s="239"/>
      <c r="AI72" s="239"/>
      <c r="AJ72" s="239"/>
      <c r="AK72" s="239"/>
      <c r="AL72" s="239"/>
      <c r="AP72" s="60"/>
    </row>
    <row r="73" spans="2:42" ht="12" customHeight="1">
      <c r="B73" s="222">
        <v>8</v>
      </c>
      <c r="C73" s="223"/>
      <c r="D73" s="223"/>
      <c r="E73" s="220" t="str">
        <f>VLOOKUP(B73,'Filtered Data'!K:L,2,FALSE)</f>
        <v>Bristol</v>
      </c>
      <c r="F73" s="220"/>
      <c r="G73" s="220"/>
      <c r="H73" s="220"/>
      <c r="I73" s="220"/>
      <c r="J73" s="220"/>
      <c r="K73" s="220"/>
      <c r="L73" s="220"/>
      <c r="M73" s="220"/>
      <c r="N73" s="220"/>
      <c r="O73" s="220"/>
      <c r="P73" s="220"/>
      <c r="Q73" s="220"/>
      <c r="R73" s="220"/>
      <c r="S73" s="220"/>
      <c r="T73" s="220"/>
      <c r="U73" s="219">
        <f>IF('Filtered Data'!$H$8="%.",(VLOOKUP(B73,'Filtered Data'!K:M,3,FALSE))/100,VLOOKUP(B73,'Filtered Data'!K:M,3,FALSE))</f>
        <v>404.8</v>
      </c>
      <c r="V73" s="219"/>
      <c r="W73" s="219"/>
      <c r="X73" s="219"/>
      <c r="Y73" s="136" t="str">
        <f>IF((VLOOKUP(E73,classifications!C:K,9,FALSE))="Sparse","S","")</f>
        <v/>
      </c>
      <c r="Z73" s="136"/>
      <c r="AA73" s="136"/>
      <c r="AB73" s="136"/>
      <c r="AC73" s="136"/>
      <c r="AD73" s="239"/>
      <c r="AE73" s="239"/>
      <c r="AF73" s="239"/>
      <c r="AG73" s="239"/>
      <c r="AH73" s="239"/>
      <c r="AI73" s="239"/>
      <c r="AJ73" s="239"/>
      <c r="AK73" s="239"/>
      <c r="AL73" s="239"/>
      <c r="AP73" s="60"/>
    </row>
    <row r="74" spans="2:42" ht="12" customHeight="1">
      <c r="B74" s="222">
        <v>9</v>
      </c>
      <c r="C74" s="223"/>
      <c r="D74" s="223"/>
      <c r="E74" s="220" t="str">
        <f>VLOOKUP(B74,'Filtered Data'!K:L,2,FALSE)</f>
        <v>Cheshire West &amp; Chester</v>
      </c>
      <c r="F74" s="220"/>
      <c r="G74" s="220"/>
      <c r="H74" s="220"/>
      <c r="I74" s="220"/>
      <c r="J74" s="220"/>
      <c r="K74" s="220"/>
      <c r="L74" s="220"/>
      <c r="M74" s="220"/>
      <c r="N74" s="220"/>
      <c r="O74" s="220"/>
      <c r="P74" s="220"/>
      <c r="Q74" s="220"/>
      <c r="R74" s="220"/>
      <c r="S74" s="220"/>
      <c r="T74" s="220"/>
      <c r="U74" s="219">
        <f>IF('Filtered Data'!$H$8="%.",(VLOOKUP(B74,'Filtered Data'!K:M,3,FALSE))/100,VLOOKUP(B74,'Filtered Data'!K:M,3,FALSE))</f>
        <v>413.3</v>
      </c>
      <c r="V74" s="219"/>
      <c r="W74" s="219"/>
      <c r="X74" s="219"/>
      <c r="Y74" s="136" t="str">
        <f>IF((VLOOKUP(E74,classifications!C:K,9,FALSE))="Sparse","S","")</f>
        <v/>
      </c>
      <c r="Z74" s="136"/>
      <c r="AA74" s="136"/>
      <c r="AB74" s="136"/>
      <c r="AC74" s="136"/>
      <c r="AD74" s="239"/>
      <c r="AE74" s="239"/>
      <c r="AF74" s="239"/>
      <c r="AG74" s="239"/>
      <c r="AH74" s="239"/>
      <c r="AI74" s="239"/>
      <c r="AJ74" s="239"/>
      <c r="AK74" s="239"/>
      <c r="AL74" s="239"/>
      <c r="AP74" s="60"/>
    </row>
    <row r="75" spans="2:42" ht="12" customHeight="1">
      <c r="B75" s="222">
        <v>10</v>
      </c>
      <c r="C75" s="223"/>
      <c r="D75" s="223"/>
      <c r="E75" s="220" t="str">
        <f>VLOOKUP(B75,'Filtered Data'!K:L,2,FALSE)</f>
        <v>East Riding of Yorkshire</v>
      </c>
      <c r="F75" s="220"/>
      <c r="G75" s="220"/>
      <c r="H75" s="220"/>
      <c r="I75" s="220"/>
      <c r="J75" s="220"/>
      <c r="K75" s="220"/>
      <c r="L75" s="220"/>
      <c r="M75" s="220"/>
      <c r="N75" s="220"/>
      <c r="O75" s="220"/>
      <c r="P75" s="220"/>
      <c r="Q75" s="220"/>
      <c r="R75" s="220"/>
      <c r="S75" s="220"/>
      <c r="T75" s="220"/>
      <c r="U75" s="219">
        <f>IF('Filtered Data'!$H$8="%.",(VLOOKUP(B75,'Filtered Data'!K:M,3,FALSE))/100,VLOOKUP(B75,'Filtered Data'!K:M,3,FALSE))</f>
        <v>415.4</v>
      </c>
      <c r="V75" s="219"/>
      <c r="W75" s="219"/>
      <c r="X75" s="219"/>
      <c r="Y75" s="136" t="str">
        <f>IF((VLOOKUP(E75,classifications!C:K,9,FALSE))="Sparse","S","")</f>
        <v>S</v>
      </c>
      <c r="Z75" s="136"/>
      <c r="AA75" s="136"/>
      <c r="AB75" s="136"/>
      <c r="AC75" s="136"/>
      <c r="AD75" s="239"/>
      <c r="AE75" s="239"/>
      <c r="AF75" s="239"/>
      <c r="AG75" s="239"/>
      <c r="AH75" s="239"/>
      <c r="AI75" s="239"/>
      <c r="AJ75" s="239"/>
      <c r="AK75" s="239"/>
      <c r="AL75" s="239"/>
      <c r="AP75" s="60"/>
    </row>
    <row r="76" spans="2:42" ht="12" customHeight="1">
      <c r="B76" s="222">
        <v>11</v>
      </c>
      <c r="C76" s="223"/>
      <c r="D76" s="223"/>
      <c r="E76" s="220" t="str">
        <f>VLOOKUP(B76,'Filtered Data'!K:L,2,FALSE)</f>
        <v>Wokingham</v>
      </c>
      <c r="F76" s="220"/>
      <c r="G76" s="220"/>
      <c r="H76" s="220"/>
      <c r="I76" s="220"/>
      <c r="J76" s="220"/>
      <c r="K76" s="220"/>
      <c r="L76" s="220"/>
      <c r="M76" s="220"/>
      <c r="N76" s="220"/>
      <c r="O76" s="220"/>
      <c r="P76" s="220"/>
      <c r="Q76" s="220"/>
      <c r="R76" s="220"/>
      <c r="S76" s="220"/>
      <c r="T76" s="220"/>
      <c r="U76" s="219">
        <f>IF('Filtered Data'!$H$8="%.",(VLOOKUP(B76,'Filtered Data'!K:M,3,FALSE))/100,VLOOKUP(B76,'Filtered Data'!K:M,3,FALSE))</f>
        <v>420.4</v>
      </c>
      <c r="V76" s="219"/>
      <c r="W76" s="219"/>
      <c r="X76" s="219"/>
      <c r="Y76" s="136" t="str">
        <f>IF((VLOOKUP(E76,classifications!C:K,9,FALSE))="Sparse","S","")</f>
        <v/>
      </c>
      <c r="Z76" s="136"/>
      <c r="AA76" s="136"/>
      <c r="AB76" s="136"/>
      <c r="AC76" s="136"/>
      <c r="AD76" s="239"/>
      <c r="AE76" s="239"/>
      <c r="AF76" s="239"/>
      <c r="AG76" s="239"/>
      <c r="AH76" s="239"/>
      <c r="AI76" s="239"/>
      <c r="AJ76" s="239"/>
      <c r="AK76" s="239"/>
      <c r="AL76" s="239"/>
      <c r="AP76" s="60"/>
    </row>
    <row r="77" spans="2:42" ht="12" customHeight="1">
      <c r="B77" s="222">
        <v>12</v>
      </c>
      <c r="C77" s="223"/>
      <c r="D77" s="223"/>
      <c r="E77" s="220" t="str">
        <f>VLOOKUP(B77,'Filtered Data'!K:L,2,FALSE)</f>
        <v>Kingston upon Hull</v>
      </c>
      <c r="F77" s="220"/>
      <c r="G77" s="220"/>
      <c r="H77" s="220"/>
      <c r="I77" s="220"/>
      <c r="J77" s="220"/>
      <c r="K77" s="220"/>
      <c r="L77" s="220"/>
      <c r="M77" s="220"/>
      <c r="N77" s="220"/>
      <c r="O77" s="220"/>
      <c r="P77" s="220"/>
      <c r="Q77" s="220"/>
      <c r="R77" s="220"/>
      <c r="S77" s="220"/>
      <c r="T77" s="220"/>
      <c r="U77" s="219">
        <f>IF('Filtered Data'!$H$8="%.",(VLOOKUP(B77,'Filtered Data'!K:M,3,FALSE))/100,VLOOKUP(B77,'Filtered Data'!K:M,3,FALSE))</f>
        <v>444.1</v>
      </c>
      <c r="V77" s="219"/>
      <c r="W77" s="219"/>
      <c r="X77" s="219"/>
      <c r="Y77" s="136" t="str">
        <f>IF((VLOOKUP(E77,classifications!C:K,9,FALSE))="Sparse","S","")</f>
        <v/>
      </c>
      <c r="Z77" s="136"/>
      <c r="AA77" s="136"/>
      <c r="AB77" s="136"/>
      <c r="AC77" s="136"/>
      <c r="AD77" s="239"/>
      <c r="AE77" s="239"/>
      <c r="AF77" s="239"/>
      <c r="AG77" s="239"/>
      <c r="AH77" s="239"/>
      <c r="AI77" s="239"/>
      <c r="AJ77" s="239"/>
      <c r="AK77" s="239"/>
      <c r="AL77" s="239"/>
      <c r="AP77" s="60"/>
    </row>
    <row r="78" spans="2:42" ht="12" customHeight="1">
      <c r="B78" s="222">
        <v>13</v>
      </c>
      <c r="C78" s="223"/>
      <c r="D78" s="223"/>
      <c r="E78" s="220" t="str">
        <f>VLOOKUP(B78,'Filtered Data'!K:L,2,FALSE)</f>
        <v>Bournemouth, Christchurch and Poole</v>
      </c>
      <c r="F78" s="220"/>
      <c r="G78" s="220"/>
      <c r="H78" s="220"/>
      <c r="I78" s="220"/>
      <c r="J78" s="220"/>
      <c r="K78" s="220"/>
      <c r="L78" s="220"/>
      <c r="M78" s="220"/>
      <c r="N78" s="220"/>
      <c r="O78" s="220"/>
      <c r="P78" s="220"/>
      <c r="Q78" s="220"/>
      <c r="R78" s="220"/>
      <c r="S78" s="220"/>
      <c r="T78" s="220"/>
      <c r="U78" s="219">
        <f>IF('Filtered Data'!$H$8="%.",(VLOOKUP(B78,'Filtered Data'!K:M,3,FALSE))/100,VLOOKUP(B78,'Filtered Data'!K:M,3,FALSE))</f>
        <v>454.1</v>
      </c>
      <c r="V78" s="219"/>
      <c r="W78" s="219"/>
      <c r="X78" s="219"/>
      <c r="Y78" s="136" t="str">
        <f>IF((VLOOKUP(E78,classifications!C:K,9,FALSE))="Sparse","S","")</f>
        <v/>
      </c>
      <c r="Z78" s="136"/>
      <c r="AA78" s="136"/>
      <c r="AB78" s="136"/>
      <c r="AC78" s="136"/>
      <c r="AD78" s="239"/>
      <c r="AE78" s="239"/>
      <c r="AF78" s="239"/>
      <c r="AG78" s="239"/>
      <c r="AH78" s="239"/>
      <c r="AI78" s="239"/>
      <c r="AJ78" s="239"/>
      <c r="AK78" s="239"/>
      <c r="AL78" s="239"/>
      <c r="AP78" s="60"/>
    </row>
    <row r="79" spans="2:42" ht="12" customHeight="1">
      <c r="B79" s="222">
        <v>14</v>
      </c>
      <c r="C79" s="223"/>
      <c r="D79" s="223"/>
      <c r="E79" s="220" t="str">
        <f>VLOOKUP(B79,'Filtered Data'!K:L,2,FALSE)</f>
        <v>Cheshire East</v>
      </c>
      <c r="F79" s="220"/>
      <c r="G79" s="220"/>
      <c r="H79" s="220"/>
      <c r="I79" s="220"/>
      <c r="J79" s="220"/>
      <c r="K79" s="220"/>
      <c r="L79" s="220"/>
      <c r="M79" s="220"/>
      <c r="N79" s="220"/>
      <c r="O79" s="220"/>
      <c r="P79" s="220"/>
      <c r="Q79" s="220"/>
      <c r="R79" s="220"/>
      <c r="S79" s="220"/>
      <c r="T79" s="220"/>
      <c r="U79" s="219">
        <f>IF('Filtered Data'!$H$8="%.",(VLOOKUP(B79,'Filtered Data'!K:M,3,FALSE))/100,VLOOKUP(B79,'Filtered Data'!K:M,3,FALSE))</f>
        <v>467.1</v>
      </c>
      <c r="V79" s="219"/>
      <c r="W79" s="219"/>
      <c r="X79" s="219"/>
      <c r="Y79" s="136" t="str">
        <f>IF((VLOOKUP(E79,classifications!C:K,9,FALSE))="Sparse","S","")</f>
        <v>S</v>
      </c>
      <c r="Z79" s="136"/>
      <c r="AA79" s="136"/>
      <c r="AB79" s="136"/>
      <c r="AC79" s="136"/>
      <c r="AD79" s="239"/>
      <c r="AE79" s="239"/>
      <c r="AF79" s="239"/>
      <c r="AG79" s="239"/>
      <c r="AH79" s="239"/>
      <c r="AI79" s="239"/>
      <c r="AJ79" s="239"/>
      <c r="AK79" s="239"/>
      <c r="AL79" s="239"/>
      <c r="AP79" s="60"/>
    </row>
    <row r="80" spans="2:42" ht="12" customHeight="1">
      <c r="B80" s="222">
        <v>15</v>
      </c>
      <c r="C80" s="223"/>
      <c r="D80" s="223"/>
      <c r="E80" s="220" t="str">
        <f>VLOOKUP(B80,'Filtered Data'!K:L,2,FALSE)</f>
        <v>Blackpool</v>
      </c>
      <c r="F80" s="220"/>
      <c r="G80" s="220"/>
      <c r="H80" s="220"/>
      <c r="I80" s="220"/>
      <c r="J80" s="220"/>
      <c r="K80" s="220"/>
      <c r="L80" s="220"/>
      <c r="M80" s="220"/>
      <c r="N80" s="220"/>
      <c r="O80" s="220"/>
      <c r="P80" s="220"/>
      <c r="Q80" s="220"/>
      <c r="R80" s="220"/>
      <c r="S80" s="220"/>
      <c r="T80" s="220"/>
      <c r="U80" s="219">
        <f>IF('Filtered Data'!$H$8="%.",(VLOOKUP(B80,'Filtered Data'!K:M,3,FALSE))/100,VLOOKUP(B80,'Filtered Data'!K:M,3,FALSE))</f>
        <v>469.9</v>
      </c>
      <c r="V80" s="219"/>
      <c r="W80" s="219"/>
      <c r="X80" s="219"/>
      <c r="Y80" s="136" t="str">
        <f>IF((VLOOKUP(E80,classifications!C:K,9,FALSE))="Sparse","S","")</f>
        <v/>
      </c>
      <c r="Z80" s="136"/>
      <c r="AA80" s="136"/>
      <c r="AB80" s="136"/>
      <c r="AC80" s="136"/>
      <c r="AD80" s="239"/>
      <c r="AE80" s="239"/>
      <c r="AF80" s="239"/>
      <c r="AG80" s="239"/>
      <c r="AH80" s="239"/>
      <c r="AI80" s="239"/>
      <c r="AJ80" s="239"/>
      <c r="AK80" s="239"/>
      <c r="AL80" s="239"/>
      <c r="AP80" s="60"/>
    </row>
    <row r="81" spans="1:48" ht="12" customHeight="1">
      <c r="B81" s="222">
        <v>16</v>
      </c>
      <c r="C81" s="223"/>
      <c r="D81" s="223"/>
      <c r="E81" s="220" t="str">
        <f>VLOOKUP(B81,'Filtered Data'!K:L,2,FALSE)</f>
        <v>Windsor &amp; Maidenhead</v>
      </c>
      <c r="F81" s="220"/>
      <c r="G81" s="220"/>
      <c r="H81" s="220"/>
      <c r="I81" s="220"/>
      <c r="J81" s="220"/>
      <c r="K81" s="220"/>
      <c r="L81" s="220"/>
      <c r="M81" s="220"/>
      <c r="N81" s="220"/>
      <c r="O81" s="220"/>
      <c r="P81" s="220"/>
      <c r="Q81" s="220"/>
      <c r="R81" s="220"/>
      <c r="S81" s="220"/>
      <c r="T81" s="220"/>
      <c r="U81" s="219">
        <f>IF('Filtered Data'!$H$8="%.",(VLOOKUP(B81,'Filtered Data'!K:M,3,FALSE))/100,VLOOKUP(B81,'Filtered Data'!K:M,3,FALSE))</f>
        <v>470.6</v>
      </c>
      <c r="V81" s="219"/>
      <c r="W81" s="219"/>
      <c r="X81" s="219"/>
      <c r="Y81" s="136" t="str">
        <f>IF((VLOOKUP(E81,classifications!C:K,9,FALSE))="Sparse","S","")</f>
        <v/>
      </c>
      <c r="Z81" s="136"/>
      <c r="AA81" s="136"/>
      <c r="AB81" s="136"/>
      <c r="AC81" s="136"/>
      <c r="AD81" s="239"/>
      <c r="AE81" s="239"/>
      <c r="AF81" s="239"/>
      <c r="AG81" s="239"/>
      <c r="AH81" s="239"/>
      <c r="AI81" s="239"/>
      <c r="AJ81" s="239"/>
      <c r="AK81" s="239"/>
      <c r="AL81" s="239"/>
      <c r="AP81" s="60"/>
    </row>
    <row r="82" spans="1:48" ht="12" customHeight="1">
      <c r="B82" s="222">
        <v>17</v>
      </c>
      <c r="C82" s="223"/>
      <c r="D82" s="223"/>
      <c r="E82" s="220" t="str">
        <f>VLOOKUP(B82,'Filtered Data'!K:L,2,FALSE)</f>
        <v>Buckinghamshire</v>
      </c>
      <c r="F82" s="220"/>
      <c r="G82" s="220"/>
      <c r="H82" s="220"/>
      <c r="I82" s="220"/>
      <c r="J82" s="220"/>
      <c r="K82" s="220"/>
      <c r="L82" s="220"/>
      <c r="M82" s="220"/>
      <c r="N82" s="220"/>
      <c r="O82" s="220"/>
      <c r="P82" s="220"/>
      <c r="Q82" s="220"/>
      <c r="R82" s="220"/>
      <c r="S82" s="220"/>
      <c r="T82" s="220"/>
      <c r="U82" s="219">
        <f>IF('Filtered Data'!$H$8="%.",(VLOOKUP(B82,'Filtered Data'!K:M,3,FALSE))/100,VLOOKUP(B82,'Filtered Data'!K:M,3,FALSE))</f>
        <v>477.3</v>
      </c>
      <c r="V82" s="219"/>
      <c r="W82" s="219"/>
      <c r="X82" s="219"/>
      <c r="Y82" s="136" t="str">
        <f>IF((VLOOKUP(E82,classifications!C:K,9,FALSE))="Sparse","S","")</f>
        <v/>
      </c>
      <c r="Z82" s="136"/>
      <c r="AA82" s="136"/>
      <c r="AB82" s="136"/>
      <c r="AC82" s="136"/>
      <c r="AD82" s="239"/>
      <c r="AE82" s="239"/>
      <c r="AF82" s="239"/>
      <c r="AG82" s="239"/>
      <c r="AH82" s="239"/>
      <c r="AI82" s="239"/>
      <c r="AJ82" s="239"/>
      <c r="AK82" s="239"/>
      <c r="AL82" s="239"/>
      <c r="AP82" s="60"/>
    </row>
    <row r="83" spans="1:48" ht="12" customHeight="1">
      <c r="B83" s="222">
        <v>18</v>
      </c>
      <c r="C83" s="223"/>
      <c r="D83" s="223"/>
      <c r="E83" s="220" t="str">
        <f>VLOOKUP(B83,'Filtered Data'!K:L,2,FALSE)</f>
        <v>Herefordshire</v>
      </c>
      <c r="F83" s="220"/>
      <c r="G83" s="220"/>
      <c r="H83" s="220"/>
      <c r="I83" s="220"/>
      <c r="J83" s="220"/>
      <c r="K83" s="220"/>
      <c r="L83" s="220"/>
      <c r="M83" s="220"/>
      <c r="N83" s="220"/>
      <c r="O83" s="220"/>
      <c r="P83" s="220"/>
      <c r="Q83" s="220"/>
      <c r="R83" s="220"/>
      <c r="S83" s="220"/>
      <c r="T83" s="220"/>
      <c r="U83" s="219">
        <f>IF('Filtered Data'!$H$8="%.",(VLOOKUP(B83,'Filtered Data'!K:M,3,FALSE))/100,VLOOKUP(B83,'Filtered Data'!K:M,3,FALSE))</f>
        <v>481.2</v>
      </c>
      <c r="V83" s="219"/>
      <c r="W83" s="219"/>
      <c r="X83" s="219"/>
      <c r="Y83" s="136" t="str">
        <f>IF((VLOOKUP(E83,classifications!C:K,9,FALSE))="Sparse","S","")</f>
        <v>S</v>
      </c>
      <c r="Z83" s="136"/>
      <c r="AA83" s="136"/>
      <c r="AB83" s="136"/>
      <c r="AC83" s="136"/>
      <c r="AD83" s="239"/>
      <c r="AE83" s="239"/>
      <c r="AF83" s="239"/>
      <c r="AG83" s="239"/>
      <c r="AH83" s="239"/>
      <c r="AI83" s="239"/>
      <c r="AJ83" s="239"/>
      <c r="AK83" s="239"/>
      <c r="AL83" s="239"/>
      <c r="AP83" s="60"/>
    </row>
    <row r="84" spans="1:48" ht="12" customHeight="1">
      <c r="B84" s="222">
        <v>19</v>
      </c>
      <c r="C84" s="223"/>
      <c r="D84" s="223"/>
      <c r="E84" s="220" t="str">
        <f>VLOOKUP(B84,'Filtered Data'!K:L,2,FALSE)</f>
        <v>West Berkshire</v>
      </c>
      <c r="F84" s="220"/>
      <c r="G84" s="220"/>
      <c r="H84" s="220"/>
      <c r="I84" s="220"/>
      <c r="J84" s="220"/>
      <c r="K84" s="220"/>
      <c r="L84" s="220"/>
      <c r="M84" s="220"/>
      <c r="N84" s="220"/>
      <c r="O84" s="220"/>
      <c r="P84" s="220"/>
      <c r="Q84" s="220"/>
      <c r="R84" s="220"/>
      <c r="S84" s="220"/>
      <c r="T84" s="220"/>
      <c r="U84" s="219">
        <f>IF('Filtered Data'!$H$8="%.",(VLOOKUP(B84,'Filtered Data'!K:M,3,FALSE))/100,VLOOKUP(B84,'Filtered Data'!K:M,3,FALSE))</f>
        <v>489.4</v>
      </c>
      <c r="V84" s="219"/>
      <c r="W84" s="219"/>
      <c r="X84" s="219"/>
      <c r="Y84" s="136" t="str">
        <f>IF((VLOOKUP(E84,classifications!C:K,9,FALSE))="Sparse","S","")</f>
        <v/>
      </c>
      <c r="Z84" s="136"/>
      <c r="AA84" s="136"/>
      <c r="AB84" s="136"/>
      <c r="AC84" s="136"/>
      <c r="AD84" s="239"/>
      <c r="AE84" s="239"/>
      <c r="AF84" s="239"/>
      <c r="AG84" s="239"/>
      <c r="AH84" s="239"/>
      <c r="AI84" s="239"/>
      <c r="AJ84" s="239"/>
      <c r="AK84" s="239"/>
      <c r="AL84" s="239"/>
      <c r="AP84" s="60"/>
    </row>
    <row r="85" spans="1:48" ht="12" customHeight="1">
      <c r="B85" s="222">
        <v>20</v>
      </c>
      <c r="C85" s="222"/>
      <c r="D85" s="222"/>
      <c r="E85" s="220" t="str">
        <f>VLOOKUP(B85,'Filtered Data'!K:L,2,FALSE)</f>
        <v>Milton Keynes</v>
      </c>
      <c r="F85" s="220"/>
      <c r="G85" s="220"/>
      <c r="H85" s="220"/>
      <c r="I85" s="220"/>
      <c r="J85" s="220"/>
      <c r="K85" s="220"/>
      <c r="L85" s="220"/>
      <c r="M85" s="220"/>
      <c r="N85" s="220"/>
      <c r="O85" s="220"/>
      <c r="P85" s="220"/>
      <c r="Q85" s="220"/>
      <c r="R85" s="220"/>
      <c r="S85" s="220"/>
      <c r="T85" s="220"/>
      <c r="U85" s="219">
        <f>IF('Filtered Data'!$H$8="%.",(VLOOKUP(B85,'Filtered Data'!K:M,3,FALSE))/100,VLOOKUP(B85,'Filtered Data'!K:M,3,FALSE))</f>
        <v>492.9</v>
      </c>
      <c r="V85" s="219"/>
      <c r="W85" s="219"/>
      <c r="X85" s="219"/>
      <c r="Y85" s="136" t="str">
        <f>IF((VLOOKUP(E85,classifications!C:K,9,FALSE))="Sparse","S","")</f>
        <v/>
      </c>
      <c r="Z85" s="136"/>
      <c r="AA85" s="136"/>
      <c r="AB85" s="136"/>
      <c r="AC85" s="136"/>
      <c r="AD85" s="239"/>
      <c r="AE85" s="239"/>
      <c r="AF85" s="239"/>
      <c r="AG85" s="239"/>
      <c r="AH85" s="239"/>
      <c r="AI85" s="239"/>
      <c r="AJ85" s="239"/>
      <c r="AK85" s="239"/>
      <c r="AL85" s="239"/>
      <c r="AP85" s="60"/>
    </row>
    <row r="86" spans="1:48" ht="12" customHeight="1">
      <c r="A86" s="55"/>
      <c r="B86" s="224" t="str">
        <f>IF(Q37&lt;=MAX(B66:D85),"",Q37)</f>
        <v/>
      </c>
      <c r="C86" s="224"/>
      <c r="D86" s="224"/>
      <c r="E86" s="216" t="str">
        <f>IF(B86="","",VLOOKUP(B86,'Filtered Data'!K:L,2,FALSE))</f>
        <v/>
      </c>
      <c r="F86" s="216"/>
      <c r="G86" s="216"/>
      <c r="H86" s="216"/>
      <c r="I86" s="216"/>
      <c r="J86" s="216"/>
      <c r="K86" s="216"/>
      <c r="L86" s="216"/>
      <c r="M86" s="216"/>
      <c r="N86" s="216"/>
      <c r="O86" s="216"/>
      <c r="P86" s="216"/>
      <c r="Q86" s="216"/>
      <c r="R86" s="216"/>
      <c r="S86" s="216"/>
      <c r="T86" s="216"/>
      <c r="U86" s="293" t="str">
        <f>IF(B86="","",L35)</f>
        <v/>
      </c>
      <c r="V86" s="293"/>
      <c r="W86" s="293"/>
      <c r="X86" s="293"/>
      <c r="Y86" s="136" t="str">
        <f>IF(B86="","",IF((VLOOKUP(E86,classifications!C:K,9,FALSE))="Sparse","S",""))</f>
        <v/>
      </c>
      <c r="Z86" s="136"/>
      <c r="AA86" s="136"/>
      <c r="AB86" s="136"/>
      <c r="AC86" s="136"/>
      <c r="AD86" s="292"/>
      <c r="AE86" s="292"/>
      <c r="AF86" s="292"/>
      <c r="AG86" s="292"/>
      <c r="AH86" s="292"/>
      <c r="AI86" s="292"/>
      <c r="AJ86" s="292"/>
      <c r="AK86" s="292"/>
      <c r="AL86" s="292"/>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Regional Authorites:</v>
      </c>
      <c r="K89" s="1" t="str">
        <f>IF('Filtered Data'!D1="UA",J9,J10)</f>
        <v>North West</v>
      </c>
      <c r="U89" s="1"/>
      <c r="AD89" s="1"/>
      <c r="AP89" s="60"/>
    </row>
    <row r="90" spans="1:48" ht="12" customHeight="1">
      <c r="B90" s="1"/>
      <c r="AV90" s="60"/>
    </row>
    <row r="91" spans="1:48" ht="12" customHeight="1">
      <c r="B91" s="221" t="str">
        <f>IF('Filtered Data'!D1="MD","",IF('Filtered Data'!D1="SC","","Rank"))</f>
        <v>Rank</v>
      </c>
      <c r="C91" s="221"/>
      <c r="D91" s="221"/>
      <c r="E91" s="229" t="str">
        <f>IF('Filtered Data'!D1="MD","",IF('Filtered Data'!D1="SC","","Authority"))</f>
        <v>Authority</v>
      </c>
      <c r="F91" s="229"/>
      <c r="G91" s="229"/>
      <c r="H91" s="229"/>
      <c r="I91" s="229"/>
      <c r="J91" s="229"/>
      <c r="K91" s="229"/>
      <c r="L91" s="229"/>
      <c r="M91" s="229"/>
      <c r="N91" s="229"/>
      <c r="O91" s="210"/>
      <c r="P91" s="210"/>
      <c r="Q91" s="210"/>
      <c r="R91" s="210"/>
      <c r="S91" s="210"/>
      <c r="T91" s="210"/>
      <c r="U91" s="221" t="str">
        <f>IF('Filtered Data'!D1="MD","",IF('Filtered Data'!D1="SC","","Value"))</f>
        <v>Value</v>
      </c>
      <c r="V91" s="221"/>
      <c r="W91" s="221"/>
      <c r="AA91" s="221"/>
      <c r="AB91" s="221"/>
      <c r="AC91" s="221"/>
      <c r="AD91" s="229"/>
      <c r="AE91" s="229"/>
      <c r="AF91" s="229"/>
      <c r="AG91" s="229"/>
      <c r="AH91" s="229"/>
      <c r="AI91" s="229"/>
      <c r="AJ91" s="229"/>
      <c r="AK91" s="229"/>
      <c r="AL91" s="229"/>
      <c r="AM91" s="229"/>
      <c r="AN91" s="221"/>
      <c r="AO91" s="221"/>
      <c r="AP91" s="221"/>
      <c r="AV91" s="60"/>
    </row>
    <row r="92" spans="1:48" ht="12" customHeight="1">
      <c r="B92" s="217">
        <f>IF('Filtered Data'!$D$1="MD","",IF('Filtered Data'!$D$1="SC","",IF('Filtered Data'!$D$1="UA",'Filtered Data'!AS11,'Filtered Data'!AL11)))</f>
        <v>1</v>
      </c>
      <c r="C92" s="218"/>
      <c r="D92" s="218"/>
      <c r="E92" s="216" t="str">
        <f>IF(B92="","",IF('Filtered Data'!$D$1="UA",VLOOKUP(B92,'Filtered Data'!AS:AU,2,FALSE),VLOOKUP(B92,'Filtered Data'!AL:AN,2,FALSE)))</f>
        <v>Cheshire West &amp; Chester</v>
      </c>
      <c r="F92" s="216"/>
      <c r="G92" s="216"/>
      <c r="H92" s="216"/>
      <c r="I92" s="216"/>
      <c r="J92" s="216"/>
      <c r="K92" s="216"/>
      <c r="L92" s="216"/>
      <c r="M92" s="216"/>
      <c r="N92" s="216"/>
      <c r="O92" s="216"/>
      <c r="P92" s="216"/>
      <c r="Q92" s="216"/>
      <c r="R92" s="216"/>
      <c r="S92" s="216"/>
      <c r="T92" s="216"/>
      <c r="U92" s="21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413.3</v>
      </c>
      <c r="V92" s="219"/>
      <c r="W92" s="219"/>
      <c r="X92" s="219"/>
      <c r="Y92" s="137" t="str">
        <f>IF(E92="","",IF((VLOOKUP(E92,classifications!C:K,9,FALSE))="Sparse","S",""))</f>
        <v/>
      </c>
      <c r="AA92" s="237"/>
      <c r="AB92" s="223"/>
      <c r="AC92" s="223"/>
      <c r="AD92" s="220"/>
      <c r="AE92" s="220"/>
      <c r="AF92" s="220"/>
      <c r="AG92" s="220"/>
      <c r="AH92" s="220"/>
      <c r="AI92" s="220"/>
      <c r="AJ92" s="220"/>
      <c r="AK92" s="220"/>
      <c r="AL92" s="220"/>
      <c r="AM92" s="220"/>
      <c r="AN92" s="238"/>
      <c r="AO92" s="238"/>
      <c r="AP92" s="238"/>
      <c r="AQ92" s="238"/>
      <c r="AR92" s="137"/>
      <c r="AV92" s="60"/>
    </row>
    <row r="93" spans="1:48" ht="12" customHeight="1">
      <c r="B93" s="217">
        <f>IF('Filtered Data'!$D$1="MD","",IF('Filtered Data'!$D$1="SC","",IF('Filtered Data'!$D$1="UA",'Filtered Data'!AS12,'Filtered Data'!AL12)))</f>
        <v>2</v>
      </c>
      <c r="C93" s="218"/>
      <c r="D93" s="218"/>
      <c r="E93" s="216" t="str">
        <f>IF(B93="","",IF('Filtered Data'!$D$1="UA",VLOOKUP(B93,'Filtered Data'!AS:AU,2,FALSE),VLOOKUP(B93,'Filtered Data'!AL:AN,2,FALSE)))</f>
        <v>Cheshire East</v>
      </c>
      <c r="F93" s="216"/>
      <c r="G93" s="216"/>
      <c r="H93" s="216"/>
      <c r="I93" s="216"/>
      <c r="J93" s="216"/>
      <c r="K93" s="216"/>
      <c r="L93" s="216"/>
      <c r="M93" s="216"/>
      <c r="N93" s="216"/>
      <c r="O93" s="216"/>
      <c r="P93" s="216"/>
      <c r="Q93" s="216"/>
      <c r="R93" s="216"/>
      <c r="S93" s="216"/>
      <c r="T93" s="216"/>
      <c r="U93" s="21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467.1</v>
      </c>
      <c r="V93" s="219"/>
      <c r="W93" s="219"/>
      <c r="X93" s="219"/>
      <c r="Y93" s="137" t="str">
        <f>IF(E93="","",IF((VLOOKUP(E93,classifications!C:K,9,FALSE))="Sparse","S",""))</f>
        <v>S</v>
      </c>
      <c r="AA93" s="237"/>
      <c r="AB93" s="237"/>
      <c r="AC93" s="237"/>
      <c r="AD93" s="220"/>
      <c r="AE93" s="220"/>
      <c r="AF93" s="220"/>
      <c r="AG93" s="220"/>
      <c r="AH93" s="220"/>
      <c r="AI93" s="220"/>
      <c r="AJ93" s="220"/>
      <c r="AK93" s="220"/>
      <c r="AL93" s="220"/>
      <c r="AM93" s="220"/>
      <c r="AN93" s="238"/>
      <c r="AO93" s="238"/>
      <c r="AP93" s="238"/>
      <c r="AQ93" s="238"/>
      <c r="AR93" s="137"/>
      <c r="AV93" s="60"/>
    </row>
    <row r="94" spans="1:48" ht="12" customHeight="1">
      <c r="B94" s="217">
        <f>IF('Filtered Data'!$D$1="MD","",IF('Filtered Data'!$D$1="SC","",IF('Filtered Data'!$D$1="UA",'Filtered Data'!AS13,'Filtered Data'!AL13)))</f>
        <v>3</v>
      </c>
      <c r="C94" s="218"/>
      <c r="D94" s="218"/>
      <c r="E94" s="216" t="str">
        <f>IF(B94="","",IF('Filtered Data'!$D$1="UA",VLOOKUP(B94,'Filtered Data'!AS:AU,2,FALSE),VLOOKUP(B94,'Filtered Data'!AL:AN,2,FALSE)))</f>
        <v>Blackpool</v>
      </c>
      <c r="F94" s="216"/>
      <c r="G94" s="216"/>
      <c r="H94" s="216"/>
      <c r="I94" s="216"/>
      <c r="J94" s="216"/>
      <c r="K94" s="216"/>
      <c r="L94" s="216"/>
      <c r="M94" s="216"/>
      <c r="N94" s="216"/>
      <c r="O94" s="216"/>
      <c r="P94" s="216"/>
      <c r="Q94" s="216"/>
      <c r="R94" s="216"/>
      <c r="S94" s="216"/>
      <c r="T94" s="216"/>
      <c r="U94" s="21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469.9</v>
      </c>
      <c r="V94" s="219"/>
      <c r="W94" s="219"/>
      <c r="X94" s="219"/>
      <c r="Y94" s="137" t="str">
        <f>IF(E94="","",IF((VLOOKUP(E94,classifications!C:K,9,FALSE))="Sparse","S",""))</f>
        <v/>
      </c>
      <c r="AA94" s="237"/>
      <c r="AB94" s="237"/>
      <c r="AC94" s="237"/>
      <c r="AD94" s="220"/>
      <c r="AE94" s="220"/>
      <c r="AF94" s="220"/>
      <c r="AG94" s="220"/>
      <c r="AH94" s="220"/>
      <c r="AI94" s="220"/>
      <c r="AJ94" s="220"/>
      <c r="AK94" s="220"/>
      <c r="AL94" s="220"/>
      <c r="AM94" s="220"/>
      <c r="AN94" s="238"/>
      <c r="AO94" s="238"/>
      <c r="AP94" s="238"/>
      <c r="AQ94" s="238"/>
      <c r="AR94" s="137"/>
      <c r="AV94" s="60"/>
    </row>
    <row r="95" spans="1:48" ht="12" customHeight="1">
      <c r="B95" s="217">
        <f>IF('Filtered Data'!$D$1="MD","",IF('Filtered Data'!$D$1="SC","",IF('Filtered Data'!$D$1="UA",'Filtered Data'!AS14,'Filtered Data'!AL14)))</f>
        <v>4</v>
      </c>
      <c r="C95" s="218"/>
      <c r="D95" s="218"/>
      <c r="E95" s="216" t="str">
        <f>IF(B95="","",IF('Filtered Data'!$D$1="UA",VLOOKUP(B95,'Filtered Data'!AS:AU,2,FALSE),VLOOKUP(B95,'Filtered Data'!AL:AN,2,FALSE)))</f>
        <v>Warrington</v>
      </c>
      <c r="F95" s="216"/>
      <c r="G95" s="216"/>
      <c r="H95" s="216"/>
      <c r="I95" s="216"/>
      <c r="J95" s="216"/>
      <c r="K95" s="216"/>
      <c r="L95" s="216"/>
      <c r="M95" s="216"/>
      <c r="N95" s="216"/>
      <c r="O95" s="216"/>
      <c r="P95" s="216"/>
      <c r="Q95" s="216"/>
      <c r="R95" s="216"/>
      <c r="S95" s="216"/>
      <c r="T95" s="216"/>
      <c r="U95" s="21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517.6</v>
      </c>
      <c r="V95" s="219"/>
      <c r="W95" s="219"/>
      <c r="X95" s="219"/>
      <c r="Y95" s="137" t="str">
        <f>IF(E95="","",IF((VLOOKUP(E95,classifications!C:K,9,FALSE))="Sparse","S",""))</f>
        <v/>
      </c>
      <c r="AA95" s="237"/>
      <c r="AB95" s="237"/>
      <c r="AC95" s="237"/>
      <c r="AD95" s="220"/>
      <c r="AE95" s="220"/>
      <c r="AF95" s="220"/>
      <c r="AG95" s="220"/>
      <c r="AH95" s="220"/>
      <c r="AI95" s="220"/>
      <c r="AJ95" s="220"/>
      <c r="AK95" s="220"/>
      <c r="AL95" s="220"/>
      <c r="AM95" s="220"/>
      <c r="AN95" s="238"/>
      <c r="AO95" s="238"/>
      <c r="AP95" s="238"/>
      <c r="AQ95" s="238"/>
      <c r="AR95" s="137"/>
      <c r="AV95" s="60"/>
    </row>
    <row r="96" spans="1:48" ht="12" customHeight="1">
      <c r="B96" s="217">
        <f>IF('Filtered Data'!$D$1="MD","",IF('Filtered Data'!$D$1="SC","",IF('Filtered Data'!$D$1="UA",'Filtered Data'!AS15,'Filtered Data'!AL15)))</f>
        <v>5</v>
      </c>
      <c r="C96" s="218"/>
      <c r="D96" s="218"/>
      <c r="E96" s="216" t="str">
        <f>IF(B96="","",IF('Filtered Data'!$D$1="UA",VLOOKUP(B96,'Filtered Data'!AS:AU,2,FALSE),VLOOKUP(B96,'Filtered Data'!AL:AN,2,FALSE)))</f>
        <v>Blackburn with Darwen</v>
      </c>
      <c r="F96" s="216"/>
      <c r="G96" s="216"/>
      <c r="H96" s="216"/>
      <c r="I96" s="216"/>
      <c r="J96" s="216"/>
      <c r="K96" s="216"/>
      <c r="L96" s="216"/>
      <c r="M96" s="216"/>
      <c r="N96" s="216"/>
      <c r="O96" s="216"/>
      <c r="P96" s="216"/>
      <c r="Q96" s="216"/>
      <c r="R96" s="216"/>
      <c r="S96" s="216"/>
      <c r="T96" s="216"/>
      <c r="U96" s="21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591.70000000000005</v>
      </c>
      <c r="V96" s="219"/>
      <c r="W96" s="219"/>
      <c r="X96" s="219"/>
      <c r="Y96" s="137" t="str">
        <f>IF(E96="","",IF((VLOOKUP(E96,classifications!C:K,9,FALSE))="Sparse","S",""))</f>
        <v/>
      </c>
      <c r="AA96" s="237"/>
      <c r="AB96" s="237"/>
      <c r="AC96" s="237"/>
      <c r="AD96" s="220"/>
      <c r="AE96" s="220"/>
      <c r="AF96" s="220"/>
      <c r="AG96" s="220"/>
      <c r="AH96" s="220"/>
      <c r="AI96" s="220"/>
      <c r="AJ96" s="220"/>
      <c r="AK96" s="220"/>
      <c r="AL96" s="220"/>
      <c r="AM96" s="220"/>
      <c r="AN96" s="238"/>
      <c r="AO96" s="238"/>
      <c r="AP96" s="238"/>
      <c r="AQ96" s="238"/>
      <c r="AR96" s="137"/>
      <c r="AV96" s="60"/>
    </row>
    <row r="97" spans="2:48" ht="12" customHeight="1">
      <c r="B97" s="217">
        <f>IF('Filtered Data'!$D$1="MD","",IF('Filtered Data'!$D$1="SC","",IF('Filtered Data'!$D$1="UA",'Filtered Data'!AS16,'Filtered Data'!AL16)))</f>
        <v>6</v>
      </c>
      <c r="C97" s="218"/>
      <c r="D97" s="218"/>
      <c r="E97" s="216" t="str">
        <f>IF(B97="","",IF('Filtered Data'!$D$1="UA",VLOOKUP(B97,'Filtered Data'!AS:AU,2,FALSE),VLOOKUP(B97,'Filtered Data'!AL:AN,2,FALSE)))</f>
        <v>Halton</v>
      </c>
      <c r="F97" s="216"/>
      <c r="G97" s="216"/>
      <c r="H97" s="216"/>
      <c r="I97" s="216"/>
      <c r="J97" s="216"/>
      <c r="K97" s="216"/>
      <c r="L97" s="216"/>
      <c r="M97" s="216"/>
      <c r="N97" s="216"/>
      <c r="O97" s="216"/>
      <c r="P97" s="216"/>
      <c r="Q97" s="216"/>
      <c r="R97" s="216"/>
      <c r="S97" s="216"/>
      <c r="T97" s="216"/>
      <c r="U97" s="21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598.9</v>
      </c>
      <c r="V97" s="219"/>
      <c r="W97" s="219"/>
      <c r="X97" s="219"/>
      <c r="Y97" s="137" t="str">
        <f>IF(E97="","",IF((VLOOKUP(E97,classifications!C:K,9,FALSE))="Sparse","S",""))</f>
        <v/>
      </c>
      <c r="AA97" s="237"/>
      <c r="AB97" s="237"/>
      <c r="AC97" s="237"/>
      <c r="AD97" s="220"/>
      <c r="AE97" s="220"/>
      <c r="AF97" s="220"/>
      <c r="AG97" s="220"/>
      <c r="AH97" s="220"/>
      <c r="AI97" s="220"/>
      <c r="AJ97" s="220"/>
      <c r="AK97" s="220"/>
      <c r="AL97" s="220"/>
      <c r="AM97" s="220"/>
      <c r="AN97" s="238"/>
      <c r="AO97" s="238"/>
      <c r="AP97" s="238"/>
      <c r="AQ97" s="238"/>
      <c r="AR97" s="137"/>
      <c r="AV97" s="60"/>
    </row>
    <row r="98" spans="2:48" ht="12" customHeight="1">
      <c r="B98" s="217" t="str">
        <f>IF('Filtered Data'!$D$1="MD","",IF('Filtered Data'!$D$1="SC","",IF('Filtered Data'!$D$1="UA",'Filtered Data'!AS17,'Filtered Data'!AL17)))</f>
        <v/>
      </c>
      <c r="C98" s="218"/>
      <c r="D98" s="218"/>
      <c r="E98" s="216" t="str">
        <f>IF(B98="","",IF('Filtered Data'!$D$1="UA",VLOOKUP(B98,'Filtered Data'!AS:AU,2,FALSE),VLOOKUP(B98,'Filtered Data'!AL:AN,2,FALSE)))</f>
        <v/>
      </c>
      <c r="F98" s="216"/>
      <c r="G98" s="216"/>
      <c r="H98" s="216"/>
      <c r="I98" s="216"/>
      <c r="J98" s="216"/>
      <c r="K98" s="216"/>
      <c r="L98" s="216"/>
      <c r="M98" s="216"/>
      <c r="N98" s="216"/>
      <c r="O98" s="216"/>
      <c r="P98" s="216"/>
      <c r="Q98" s="216"/>
      <c r="R98" s="216"/>
      <c r="S98" s="216"/>
      <c r="T98" s="216"/>
      <c r="U98" s="219"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19"/>
      <c r="W98" s="219"/>
      <c r="X98" s="219"/>
      <c r="Y98" s="137" t="str">
        <f>IF(E98="","",IF((VLOOKUP(E98,classifications!C:K,9,FALSE))="Sparse","S",""))</f>
        <v/>
      </c>
      <c r="AA98" s="237"/>
      <c r="AB98" s="237"/>
      <c r="AC98" s="237"/>
      <c r="AD98" s="220"/>
      <c r="AE98" s="220"/>
      <c r="AF98" s="220"/>
      <c r="AG98" s="220"/>
      <c r="AH98" s="220"/>
      <c r="AI98" s="220"/>
      <c r="AJ98" s="220"/>
      <c r="AK98" s="220"/>
      <c r="AL98" s="220"/>
      <c r="AM98" s="220"/>
      <c r="AN98" s="238"/>
      <c r="AO98" s="238"/>
      <c r="AP98" s="238"/>
      <c r="AQ98" s="238"/>
      <c r="AR98" s="137"/>
      <c r="AV98" s="60"/>
    </row>
    <row r="99" spans="2:48" ht="12" customHeight="1">
      <c r="B99" s="217" t="str">
        <f>IF('Filtered Data'!$D$1="MD","",IF('Filtered Data'!$D$1="SC","",IF('Filtered Data'!$D$1="UA",'Filtered Data'!AS18,'Filtered Data'!AL18)))</f>
        <v/>
      </c>
      <c r="C99" s="218"/>
      <c r="D99" s="218"/>
      <c r="E99" s="216" t="str">
        <f>IF(B99="","",IF('Filtered Data'!$D$1="UA",VLOOKUP(B99,'Filtered Data'!AS:AU,2,FALSE),VLOOKUP(B99,'Filtered Data'!AL:AN,2,FALSE)))</f>
        <v/>
      </c>
      <c r="F99" s="216"/>
      <c r="G99" s="216"/>
      <c r="H99" s="216"/>
      <c r="I99" s="216"/>
      <c r="J99" s="216"/>
      <c r="K99" s="216"/>
      <c r="L99" s="216"/>
      <c r="M99" s="216"/>
      <c r="N99" s="216"/>
      <c r="O99" s="216"/>
      <c r="P99" s="216"/>
      <c r="Q99" s="216"/>
      <c r="R99" s="216"/>
      <c r="S99" s="216"/>
      <c r="T99" s="216"/>
      <c r="U99" s="219"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19"/>
      <c r="W99" s="219"/>
      <c r="X99" s="219"/>
      <c r="Y99" s="137" t="str">
        <f>IF(E99="","",IF((VLOOKUP(E99,classifications!C:K,9,FALSE))="Sparse","S",""))</f>
        <v/>
      </c>
      <c r="AA99" s="237"/>
      <c r="AB99" s="237"/>
      <c r="AC99" s="237"/>
      <c r="AD99" s="220"/>
      <c r="AE99" s="220"/>
      <c r="AF99" s="220"/>
      <c r="AG99" s="220"/>
      <c r="AH99" s="220"/>
      <c r="AI99" s="220"/>
      <c r="AJ99" s="220"/>
      <c r="AK99" s="220"/>
      <c r="AL99" s="220"/>
      <c r="AM99" s="220"/>
      <c r="AN99" s="238"/>
      <c r="AO99" s="238"/>
      <c r="AP99" s="238"/>
      <c r="AQ99" s="238"/>
      <c r="AR99" s="137"/>
      <c r="AV99" s="60"/>
    </row>
    <row r="100" spans="2:48" ht="12" customHeight="1">
      <c r="B100" s="217" t="str">
        <f>IF('Filtered Data'!$D$1="MD","",IF('Filtered Data'!$D$1="SC","",IF('Filtered Data'!$D$1="UA",'Filtered Data'!AS19,'Filtered Data'!AL19)))</f>
        <v/>
      </c>
      <c r="C100" s="218"/>
      <c r="D100" s="218"/>
      <c r="E100" s="216" t="str">
        <f>IF(B100="","",IF('Filtered Data'!$D$1="UA",VLOOKUP(B100,'Filtered Data'!AS:AU,2,FALSE),VLOOKUP(B100,'Filtered Data'!AL:AN,2,FALSE)))</f>
        <v/>
      </c>
      <c r="F100" s="216"/>
      <c r="G100" s="216"/>
      <c r="H100" s="216"/>
      <c r="I100" s="216"/>
      <c r="J100" s="216"/>
      <c r="K100" s="216"/>
      <c r="L100" s="216"/>
      <c r="M100" s="216"/>
      <c r="N100" s="216"/>
      <c r="O100" s="216"/>
      <c r="P100" s="216"/>
      <c r="Q100" s="216"/>
      <c r="R100" s="216"/>
      <c r="S100" s="216"/>
      <c r="T100" s="216"/>
      <c r="U100" s="219"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19"/>
      <c r="W100" s="219"/>
      <c r="X100" s="219"/>
      <c r="Y100" s="137" t="str">
        <f>IF(E100="","",IF((VLOOKUP(E100,classifications!C:K,9,FALSE))="Sparse","S",""))</f>
        <v/>
      </c>
      <c r="AA100" s="237"/>
      <c r="AB100" s="237"/>
      <c r="AC100" s="237"/>
      <c r="AD100" s="220"/>
      <c r="AE100" s="220"/>
      <c r="AF100" s="220"/>
      <c r="AG100" s="220"/>
      <c r="AH100" s="220"/>
      <c r="AI100" s="220"/>
      <c r="AJ100" s="220"/>
      <c r="AK100" s="220"/>
      <c r="AL100" s="220"/>
      <c r="AM100" s="220"/>
      <c r="AN100" s="238"/>
      <c r="AO100" s="238"/>
      <c r="AP100" s="238"/>
      <c r="AQ100" s="238"/>
      <c r="AR100" s="137"/>
      <c r="AV100" s="60"/>
    </row>
    <row r="101" spans="2:48" ht="12" customHeight="1">
      <c r="B101" s="217" t="str">
        <f>IF('Filtered Data'!$D$1="MD","",IF('Filtered Data'!$D$1="SC","",IF('Filtered Data'!$D$1="UA",'Filtered Data'!AS20,'Filtered Data'!AL20)))</f>
        <v/>
      </c>
      <c r="C101" s="218"/>
      <c r="D101" s="218"/>
      <c r="E101" s="216" t="str">
        <f>IF(B101="","",IF('Filtered Data'!$D$1="UA",VLOOKUP(B101,'Filtered Data'!AS:AU,2,FALSE),VLOOKUP(B101,'Filtered Data'!AL:AN,2,FALSE)))</f>
        <v/>
      </c>
      <c r="F101" s="216"/>
      <c r="G101" s="216"/>
      <c r="H101" s="216"/>
      <c r="I101" s="216"/>
      <c r="J101" s="216"/>
      <c r="K101" s="216"/>
      <c r="L101" s="216"/>
      <c r="M101" s="216"/>
      <c r="N101" s="216"/>
      <c r="O101" s="216"/>
      <c r="P101" s="216"/>
      <c r="Q101" s="216"/>
      <c r="R101" s="216"/>
      <c r="S101" s="216"/>
      <c r="T101" s="216"/>
      <c r="U101" s="219"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19"/>
      <c r="W101" s="219"/>
      <c r="X101" s="219"/>
      <c r="Y101" s="137" t="str">
        <f>IF(E101="","",IF((VLOOKUP(E101,classifications!C:K,9,FALSE))="Sparse","S",""))</f>
        <v/>
      </c>
      <c r="AA101" s="237"/>
      <c r="AB101" s="237"/>
      <c r="AC101" s="237"/>
      <c r="AD101" s="220"/>
      <c r="AE101" s="220"/>
      <c r="AF101" s="220"/>
      <c r="AG101" s="220"/>
      <c r="AH101" s="220"/>
      <c r="AI101" s="220"/>
      <c r="AJ101" s="220"/>
      <c r="AK101" s="220"/>
      <c r="AL101" s="220"/>
      <c r="AM101" s="220"/>
      <c r="AN101" s="238"/>
      <c r="AO101" s="238"/>
      <c r="AP101" s="238"/>
      <c r="AQ101" s="238"/>
      <c r="AR101" s="137"/>
      <c r="AV101" s="60"/>
    </row>
    <row r="102" spans="2:48" ht="12" customHeight="1">
      <c r="B102" s="217" t="str">
        <f>IF('Filtered Data'!$D$1="MD","",IF('Filtered Data'!$D$1="SC","",IF('Filtered Data'!$D$1="UA",'Filtered Data'!AS21,'Filtered Data'!AL21)))</f>
        <v/>
      </c>
      <c r="C102" s="218"/>
      <c r="D102" s="218"/>
      <c r="E102" s="216" t="str">
        <f>IF(B102="","",IF('Filtered Data'!$D$1="UA",VLOOKUP(B102,'Filtered Data'!AS:AU,2,FALSE),VLOOKUP(B102,'Filtered Data'!AL:AN,2,FALSE)))</f>
        <v/>
      </c>
      <c r="F102" s="216"/>
      <c r="G102" s="216"/>
      <c r="H102" s="216"/>
      <c r="I102" s="216"/>
      <c r="J102" s="216"/>
      <c r="K102" s="216"/>
      <c r="L102" s="216"/>
      <c r="M102" s="216"/>
      <c r="N102" s="216"/>
      <c r="O102" s="216"/>
      <c r="P102" s="216"/>
      <c r="Q102" s="216"/>
      <c r="R102" s="216"/>
      <c r="S102" s="216"/>
      <c r="T102" s="216"/>
      <c r="U102" s="219"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19"/>
      <c r="W102" s="219"/>
      <c r="X102" s="219"/>
      <c r="Y102" s="137" t="str">
        <f>IF(E102="","",IF((VLOOKUP(E102,classifications!C:K,9,FALSE))="Sparse","S",""))</f>
        <v/>
      </c>
      <c r="AA102" s="237"/>
      <c r="AB102" s="237"/>
      <c r="AC102" s="237"/>
      <c r="AD102" s="220"/>
      <c r="AE102" s="220"/>
      <c r="AF102" s="220"/>
      <c r="AG102" s="220"/>
      <c r="AH102" s="220"/>
      <c r="AI102" s="220"/>
      <c r="AJ102" s="220"/>
      <c r="AK102" s="220"/>
      <c r="AL102" s="220"/>
      <c r="AM102" s="220"/>
      <c r="AN102" s="238"/>
      <c r="AO102" s="238"/>
      <c r="AP102" s="238"/>
      <c r="AQ102" s="238"/>
      <c r="AR102" s="137"/>
      <c r="AV102" s="60"/>
    </row>
    <row r="103" spans="2:48" ht="12" customHeight="1">
      <c r="B103" s="217" t="str">
        <f>IF('Filtered Data'!$D$1="MD","",IF('Filtered Data'!$D$1="SC","",IF('Filtered Data'!$D$1="UA",'Filtered Data'!AS22,'Filtered Data'!AL22)))</f>
        <v/>
      </c>
      <c r="C103" s="218"/>
      <c r="D103" s="218"/>
      <c r="E103" s="216" t="str">
        <f>IF(B103="","",IF('Filtered Data'!$D$1="UA",VLOOKUP(B103,'Filtered Data'!AS:AU,2,FALSE),VLOOKUP(B103,'Filtered Data'!AL:AN,2,FALSE)))</f>
        <v/>
      </c>
      <c r="F103" s="216"/>
      <c r="G103" s="216"/>
      <c r="H103" s="216"/>
      <c r="I103" s="216"/>
      <c r="J103" s="216"/>
      <c r="K103" s="216"/>
      <c r="L103" s="216"/>
      <c r="M103" s="216"/>
      <c r="N103" s="216"/>
      <c r="O103" s="216"/>
      <c r="P103" s="216"/>
      <c r="Q103" s="216"/>
      <c r="R103" s="216"/>
      <c r="S103" s="216"/>
      <c r="T103" s="216"/>
      <c r="U103" s="21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19"/>
      <c r="W103" s="219"/>
      <c r="X103" s="219"/>
      <c r="Y103" s="137" t="str">
        <f>IF(E103="","",IF((VLOOKUP(E103,classifications!C:K,9,FALSE))="Sparse","S",""))</f>
        <v/>
      </c>
      <c r="AA103" s="237"/>
      <c r="AB103" s="237"/>
      <c r="AC103" s="237"/>
      <c r="AD103" s="220"/>
      <c r="AE103" s="220"/>
      <c r="AF103" s="220"/>
      <c r="AG103" s="220"/>
      <c r="AH103" s="220"/>
      <c r="AI103" s="220"/>
      <c r="AJ103" s="220"/>
      <c r="AK103" s="220"/>
      <c r="AL103" s="220"/>
      <c r="AM103" s="220"/>
      <c r="AN103" s="238"/>
      <c r="AO103" s="238"/>
      <c r="AP103" s="238"/>
      <c r="AQ103" s="238"/>
      <c r="AR103" s="137"/>
      <c r="AV103" s="60"/>
    </row>
    <row r="104" spans="2:48" ht="12" customHeight="1">
      <c r="B104" s="217" t="str">
        <f>IF('Filtered Data'!$D$1="MD","",IF('Filtered Data'!$D$1="SC","",IF('Filtered Data'!$D$1="UA",'Filtered Data'!AS23,'Filtered Data'!AL23)))</f>
        <v/>
      </c>
      <c r="C104" s="218"/>
      <c r="D104" s="218"/>
      <c r="E104" s="216" t="str">
        <f>IF(B104="","",IF('Filtered Data'!$D$1="UA",VLOOKUP(B104,'Filtered Data'!AS:AU,2,FALSE),VLOOKUP(B104,'Filtered Data'!AL:AN,2,FALSE)))</f>
        <v/>
      </c>
      <c r="F104" s="216"/>
      <c r="G104" s="216"/>
      <c r="H104" s="216"/>
      <c r="I104" s="216"/>
      <c r="J104" s="216"/>
      <c r="K104" s="216"/>
      <c r="L104" s="216"/>
      <c r="M104" s="216"/>
      <c r="N104" s="216"/>
      <c r="O104" s="216"/>
      <c r="P104" s="216"/>
      <c r="Q104" s="216"/>
      <c r="R104" s="216"/>
      <c r="S104" s="216"/>
      <c r="T104" s="216"/>
      <c r="U104" s="21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19"/>
      <c r="W104" s="219"/>
      <c r="X104" s="219"/>
      <c r="Y104" s="137" t="str">
        <f>IF(E104="","",IF((VLOOKUP(E104,classifications!C:K,9,FALSE))="Sparse","S",""))</f>
        <v/>
      </c>
      <c r="AA104" s="237"/>
      <c r="AB104" s="237"/>
      <c r="AC104" s="237"/>
      <c r="AD104" s="220"/>
      <c r="AE104" s="220"/>
      <c r="AF104" s="220"/>
      <c r="AG104" s="220"/>
      <c r="AH104" s="220"/>
      <c r="AI104" s="220"/>
      <c r="AJ104" s="220"/>
      <c r="AK104" s="220"/>
      <c r="AL104" s="220"/>
      <c r="AM104" s="220"/>
      <c r="AN104" s="238"/>
      <c r="AO104" s="238"/>
      <c r="AP104" s="238"/>
      <c r="AQ104" s="238"/>
      <c r="AR104" s="137"/>
      <c r="AV104" s="60"/>
    </row>
    <row r="105" spans="2:48" ht="12" customHeight="1">
      <c r="B105" s="217" t="str">
        <f>IF('Filtered Data'!$D$1="MD","",IF('Filtered Data'!$D$1="SC","",IF('Filtered Data'!$D$1="UA",'Filtered Data'!AS24,'Filtered Data'!AL24)))</f>
        <v/>
      </c>
      <c r="C105" s="218"/>
      <c r="D105" s="218"/>
      <c r="E105" s="216" t="str">
        <f>IF(B105="","",IF('Filtered Data'!$D$1="UA",VLOOKUP(B105,'Filtered Data'!AS:AU,2,FALSE),VLOOKUP(B105,'Filtered Data'!AL:AN,2,FALSE)))</f>
        <v/>
      </c>
      <c r="F105" s="216"/>
      <c r="G105" s="216"/>
      <c r="H105" s="216"/>
      <c r="I105" s="216"/>
      <c r="J105" s="216"/>
      <c r="K105" s="216"/>
      <c r="L105" s="216"/>
      <c r="M105" s="216"/>
      <c r="N105" s="216"/>
      <c r="O105" s="216"/>
      <c r="P105" s="216"/>
      <c r="Q105" s="216"/>
      <c r="R105" s="216"/>
      <c r="S105" s="216"/>
      <c r="T105" s="216"/>
      <c r="U105" s="21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19"/>
      <c r="W105" s="219"/>
      <c r="X105" s="219"/>
      <c r="Y105" s="137" t="str">
        <f>IF(E105="","",IF((VLOOKUP(E105,classifications!C:K,9,FALSE))="Sparse","S",""))</f>
        <v/>
      </c>
      <c r="AA105" s="237"/>
      <c r="AB105" s="237"/>
      <c r="AC105" s="237"/>
      <c r="AD105" s="220"/>
      <c r="AE105" s="220"/>
      <c r="AF105" s="220"/>
      <c r="AG105" s="220"/>
      <c r="AH105" s="220"/>
      <c r="AI105" s="220"/>
      <c r="AJ105" s="220"/>
      <c r="AK105" s="220"/>
      <c r="AL105" s="220"/>
      <c r="AM105" s="220"/>
      <c r="AN105" s="238"/>
      <c r="AO105" s="238"/>
      <c r="AP105" s="238"/>
      <c r="AQ105" s="238"/>
      <c r="AR105" s="137"/>
      <c r="AV105" s="60"/>
    </row>
    <row r="106" spans="2:48" ht="12" customHeight="1">
      <c r="B106" s="217" t="str">
        <f>IF('Filtered Data'!$D$1="MD","",IF('Filtered Data'!$D$1="SC","",IF('Filtered Data'!$D$1="UA",'Filtered Data'!AS25,'Filtered Data'!AL25)))</f>
        <v/>
      </c>
      <c r="C106" s="218"/>
      <c r="D106" s="218"/>
      <c r="E106" s="216" t="str">
        <f>IF(B106="","",IF('Filtered Data'!$D$1="UA",VLOOKUP(B106,'Filtered Data'!AS:AU,2,FALSE),VLOOKUP(B106,'Filtered Data'!AL:AN,2,FALSE)))</f>
        <v/>
      </c>
      <c r="F106" s="216"/>
      <c r="G106" s="216"/>
      <c r="H106" s="216"/>
      <c r="I106" s="216"/>
      <c r="J106" s="216"/>
      <c r="K106" s="216"/>
      <c r="L106" s="216"/>
      <c r="M106" s="216"/>
      <c r="N106" s="216"/>
      <c r="O106" s="216"/>
      <c r="P106" s="216"/>
      <c r="Q106" s="216"/>
      <c r="R106" s="216"/>
      <c r="S106" s="216"/>
      <c r="T106" s="216"/>
      <c r="U106" s="21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19"/>
      <c r="W106" s="219"/>
      <c r="X106" s="219"/>
      <c r="Y106" s="137" t="str">
        <f>IF(E106="","",IF((VLOOKUP(E106,classifications!C:K,9,FALSE))="Sparse","S",""))</f>
        <v/>
      </c>
      <c r="AA106" s="237"/>
      <c r="AB106" s="237"/>
      <c r="AC106" s="237"/>
      <c r="AD106" s="220"/>
      <c r="AE106" s="220"/>
      <c r="AF106" s="220"/>
      <c r="AG106" s="220"/>
      <c r="AH106" s="220"/>
      <c r="AI106" s="220"/>
      <c r="AJ106" s="220"/>
      <c r="AK106" s="220"/>
      <c r="AL106" s="220"/>
      <c r="AM106" s="220"/>
      <c r="AN106" s="238"/>
      <c r="AO106" s="238"/>
      <c r="AP106" s="238"/>
      <c r="AQ106" s="238"/>
      <c r="AR106" s="137"/>
      <c r="AV106" s="60"/>
    </row>
    <row r="107" spans="2:48" ht="12" customHeight="1">
      <c r="B107" s="217" t="str">
        <f>IF('Filtered Data'!$D$1="MD","",IF('Filtered Data'!$D$1="SC","",IF('Filtered Data'!$D$1="UA",'Filtered Data'!AS26,'Filtered Data'!AL26)))</f>
        <v/>
      </c>
      <c r="C107" s="218"/>
      <c r="D107" s="218"/>
      <c r="E107" s="216" t="str">
        <f>IF(B107="","",IF('Filtered Data'!$D$1="UA",VLOOKUP(B107,'Filtered Data'!AS:AU,2,FALSE),VLOOKUP(B107,'Filtered Data'!AL:AN,2,FALSE)))</f>
        <v/>
      </c>
      <c r="F107" s="216"/>
      <c r="G107" s="216"/>
      <c r="H107" s="216"/>
      <c r="I107" s="216"/>
      <c r="J107" s="216"/>
      <c r="K107" s="216"/>
      <c r="L107" s="216"/>
      <c r="M107" s="216"/>
      <c r="N107" s="216"/>
      <c r="O107" s="216"/>
      <c r="P107" s="216"/>
      <c r="Q107" s="216"/>
      <c r="R107" s="216"/>
      <c r="S107" s="216"/>
      <c r="T107" s="216"/>
      <c r="U107" s="21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19"/>
      <c r="W107" s="219"/>
      <c r="X107" s="219"/>
      <c r="Y107" s="137" t="str">
        <f>IF(E107="","",IF((VLOOKUP(E107,classifications!C:K,9,FALSE))="Sparse","S",""))</f>
        <v/>
      </c>
      <c r="AA107" s="237"/>
      <c r="AB107" s="237"/>
      <c r="AC107" s="237"/>
      <c r="AD107" s="220"/>
      <c r="AE107" s="220"/>
      <c r="AF107" s="220"/>
      <c r="AG107" s="220"/>
      <c r="AH107" s="220"/>
      <c r="AI107" s="220"/>
      <c r="AJ107" s="220"/>
      <c r="AK107" s="220"/>
      <c r="AL107" s="220"/>
      <c r="AM107" s="220"/>
      <c r="AN107" s="238"/>
      <c r="AO107" s="238"/>
      <c r="AP107" s="238"/>
      <c r="AQ107" s="238"/>
      <c r="AR107" s="137"/>
      <c r="AV107" s="60"/>
    </row>
    <row r="108" spans="2:48" ht="12" customHeight="1">
      <c r="B108" s="223"/>
      <c r="C108" s="223"/>
      <c r="D108" s="223"/>
      <c r="E108" s="229" t="s">
        <v>341</v>
      </c>
      <c r="F108" s="229"/>
      <c r="G108" s="229"/>
      <c r="H108" s="229"/>
      <c r="I108" s="229"/>
      <c r="J108" s="229"/>
      <c r="K108" s="229"/>
      <c r="L108" s="229"/>
      <c r="M108" s="229"/>
      <c r="N108" s="229"/>
      <c r="O108" s="210"/>
      <c r="P108" s="210"/>
      <c r="Q108" s="210"/>
      <c r="R108" s="210"/>
      <c r="S108" s="210"/>
      <c r="T108" s="210"/>
      <c r="U108" s="236">
        <f>L39</f>
        <v>509.75000000000006</v>
      </c>
      <c r="V108" s="236"/>
      <c r="W108" s="236"/>
      <c r="X108" s="236"/>
      <c r="Y108" s="137"/>
      <c r="AA108" s="223"/>
      <c r="AB108" s="223"/>
      <c r="AC108" s="223"/>
      <c r="AD108" s="1"/>
      <c r="AE108" s="1"/>
      <c r="AF108" s="1"/>
      <c r="AG108" s="1"/>
      <c r="AH108" s="1"/>
      <c r="AI108" s="1"/>
      <c r="AJ108" s="1"/>
      <c r="AK108" s="1"/>
      <c r="AL108" s="1"/>
      <c r="AM108" s="21"/>
      <c r="AN108" s="225"/>
      <c r="AO108" s="225"/>
      <c r="AP108" s="225"/>
      <c r="AQ108" s="225"/>
      <c r="AV108" s="60"/>
    </row>
    <row r="109" spans="2:48" ht="12" customHeight="1">
      <c r="W109" s="18">
        <f>COUNT(AA92:AB107)</f>
        <v>0</v>
      </c>
    </row>
    <row r="110" spans="2:48" ht="19.5" customHeight="1">
      <c r="B110" s="226" t="str">
        <f>B3</f>
        <v>Waste Management Indicators</v>
      </c>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row>
    <row r="111" spans="2:48" ht="12" customHeight="1"/>
    <row r="112" spans="2:48" ht="12" customHeight="1">
      <c r="B112" s="229" t="s">
        <v>373</v>
      </c>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row>
    <row r="113" spans="2:40" ht="12" customHeight="1"/>
    <row r="114" spans="2:40" ht="12" customHeight="1">
      <c r="B114" s="232" t="str">
        <f>W6&amp;" - "&amp;W12</f>
        <v>Residual household waste per household (kg/household) (Ex NI191) - 2022-23</v>
      </c>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0"/>
    </row>
    <row r="115" spans="2:40" ht="12" customHeight="1">
      <c r="B115" s="234"/>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Cheshire East</v>
      </c>
      <c r="G118" s="231">
        <f>IF('Filtered Data'!H8="..",L35,L35*100)</f>
        <v>467.1</v>
      </c>
      <c r="H118" s="231"/>
      <c r="I118" s="231"/>
      <c r="J118" s="231"/>
      <c r="K118" s="231"/>
      <c r="M118" s="223">
        <f>K$48</f>
        <v>470.07499999999999</v>
      </c>
      <c r="N118" s="223"/>
      <c r="O118" s="223">
        <f>M$48</f>
        <v>529.25</v>
      </c>
      <c r="P118" s="223"/>
      <c r="Q118" s="223">
        <f>O$48</f>
        <v>572.17499999999995</v>
      </c>
      <c r="R118" s="223"/>
      <c r="AN118" s="6"/>
    </row>
    <row r="119" spans="2:40" ht="12" customHeight="1">
      <c r="B119" s="5"/>
      <c r="F119" t="s">
        <v>383</v>
      </c>
      <c r="G119" s="231">
        <f>IF('Filtered Data'!H8="%%",(AVERAGEIF('Filtered Data'!AA$10:AA$480,$F119,'Filtered Data'!M$10:M$480))*100,(AVERAGEIF('Filtered Data'!AA$10:AA$480,$F119,'Filtered Data'!M$10:M$480)))</f>
        <v>505.54545454545462</v>
      </c>
      <c r="H119" s="231"/>
      <c r="I119" s="231"/>
      <c r="J119" s="231"/>
      <c r="K119" s="231"/>
      <c r="M119" s="223">
        <f>K$48</f>
        <v>470.07499999999999</v>
      </c>
      <c r="N119" s="223"/>
      <c r="O119" s="223">
        <f>M$48</f>
        <v>529.25</v>
      </c>
      <c r="P119" s="223"/>
      <c r="Q119" s="223">
        <f>O$48</f>
        <v>572.17499999999995</v>
      </c>
      <c r="R119" s="223"/>
      <c r="AN119" s="6"/>
    </row>
    <row r="120" spans="2:40" ht="12" customHeight="1">
      <c r="B120" s="5"/>
      <c r="F120" t="s">
        <v>385</v>
      </c>
      <c r="G120" s="231">
        <f>IF('Filtered Data'!H8="%%",(AVERAGEIF('Filtered Data'!AA$10:AA$480,$F120,'Filtered Data'!M$10:M$480))*100,(AVERAGEIF('Filtered Data'!AA$10:AA$480,$F120,'Filtered Data'!M$10:M$480)))</f>
        <v>537.0194444444445</v>
      </c>
      <c r="H120" s="231"/>
      <c r="I120" s="231"/>
      <c r="J120" s="231"/>
      <c r="K120" s="231"/>
      <c r="M120" s="223">
        <f>K$48</f>
        <v>470.07499999999999</v>
      </c>
      <c r="N120" s="223"/>
      <c r="O120" s="223">
        <f>M$48</f>
        <v>529.25</v>
      </c>
      <c r="P120" s="223"/>
      <c r="Q120" s="223">
        <f>O$48</f>
        <v>572.17499999999995</v>
      </c>
      <c r="R120" s="223"/>
      <c r="AN120" s="6"/>
    </row>
    <row r="121" spans="2:40" ht="12" customHeight="1">
      <c r="B121" s="5"/>
      <c r="F121" t="s">
        <v>372</v>
      </c>
      <c r="G121" s="231">
        <f>IF('Filtered Data'!H8="%%",(AVERAGEIF('Filtered Data'!AA$10:AA$480,$F121,'Filtered Data'!M$10:M$480))*100,(AVERAGEIF('Filtered Data'!AA$10:AA$480,$F121,'Filtered Data'!M$10:M$480)))</f>
        <v>477.01000000000005</v>
      </c>
      <c r="H121" s="231"/>
      <c r="I121" s="231"/>
      <c r="J121" s="231"/>
      <c r="K121" s="231"/>
      <c r="M121" s="223">
        <f>K$48</f>
        <v>470.07499999999999</v>
      </c>
      <c r="N121" s="223"/>
      <c r="O121" s="223">
        <f>M$48</f>
        <v>529.25</v>
      </c>
      <c r="P121" s="223"/>
      <c r="Q121" s="223">
        <f>O$48</f>
        <v>572.17499999999995</v>
      </c>
      <c r="R121" s="223"/>
      <c r="AN121" s="6"/>
    </row>
    <row r="122" spans="2:40" ht="12" customHeight="1">
      <c r="B122" s="5"/>
      <c r="G122" s="231"/>
      <c r="H122" s="231"/>
      <c r="I122" s="231"/>
      <c r="J122" s="231"/>
      <c r="K122" s="231"/>
      <c r="M122" s="223"/>
      <c r="N122" s="223"/>
      <c r="O122" s="223"/>
      <c r="P122" s="223"/>
      <c r="Q122" s="223"/>
      <c r="R122" s="223"/>
      <c r="AN122" s="6"/>
    </row>
    <row r="123" spans="2:40" ht="12" customHeight="1">
      <c r="B123" s="5"/>
      <c r="G123" s="231"/>
      <c r="H123" s="231"/>
      <c r="I123" s="231"/>
      <c r="J123" s="231"/>
      <c r="K123" s="231"/>
      <c r="M123" s="223"/>
      <c r="N123" s="223"/>
      <c r="O123" s="223"/>
      <c r="P123" s="223"/>
      <c r="Q123" s="223"/>
      <c r="R123" s="223"/>
      <c r="AN123" s="6"/>
    </row>
    <row r="124" spans="2:40" ht="12" customHeight="1">
      <c r="B124" s="5"/>
      <c r="G124" s="231"/>
      <c r="H124" s="231"/>
      <c r="I124" s="231"/>
      <c r="J124" s="231"/>
      <c r="K124" s="231"/>
      <c r="M124" s="223"/>
      <c r="N124" s="223"/>
      <c r="O124" s="223"/>
      <c r="P124" s="223"/>
      <c r="Q124" s="223"/>
      <c r="R124" s="223"/>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Bn6CZDy7i5htWfHCJ/MCrJ2WP5QaXunVVyyf5f9utpPOzb06xndXD+/S3yl4PXJrotPdNsb/hKKj1DOBDWeIwA==" saltValue="ZsLRxqAerGR0ZIOp4ZiIDQ==" spinCount="100000" sheet="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3:AN3"/>
    <mergeCell ref="N32:S32"/>
    <mergeCell ref="AC32:AE32"/>
    <mergeCell ref="B10:I10"/>
    <mergeCell ref="W13:AM13"/>
    <mergeCell ref="AF32:AL32"/>
    <mergeCell ref="L40:O40"/>
    <mergeCell ref="L39:O39"/>
    <mergeCell ref="S40:U40"/>
    <mergeCell ref="W12:AM12"/>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s>
  <phoneticPr fontId="25"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S1" workbookViewId="0">
      <selection activeCell="S1" sqref="A1:XFD1048576"/>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388</v>
      </c>
      <c r="H1" s="76"/>
      <c r="I1" s="76"/>
      <c r="K1" s="62"/>
      <c r="L1" s="34" t="s">
        <v>360</v>
      </c>
      <c r="M1" s="89" t="s">
        <v>384</v>
      </c>
      <c r="N1" s="89" t="s">
        <v>384</v>
      </c>
      <c r="O1" s="89"/>
      <c r="P1" s="89"/>
      <c r="Q1" s="89"/>
      <c r="R1" s="89"/>
      <c r="T1" s="296" t="s">
        <v>825</v>
      </c>
      <c r="U1" s="297"/>
      <c r="V1" s="297"/>
      <c r="W1" s="298"/>
      <c r="X1" s="62"/>
      <c r="AA1" s="296" t="s">
        <v>824</v>
      </c>
      <c r="AB1" s="297"/>
      <c r="AC1" s="297"/>
      <c r="AD1" s="298"/>
      <c r="AE1" s="64"/>
      <c r="AI1" s="62"/>
      <c r="AP1" s="62"/>
      <c r="AQ1" s="73"/>
      <c r="AW1" s="80"/>
      <c r="AY1" s="127"/>
    </row>
    <row r="2" spans="1:735" s="34" customFormat="1">
      <c r="A2" s="56"/>
      <c r="B2" s="56"/>
      <c r="H2" s="76"/>
      <c r="I2" s="76"/>
      <c r="K2" s="62"/>
      <c r="L2" s="34" t="s">
        <v>387</v>
      </c>
      <c r="M2" s="89" t="s">
        <v>415</v>
      </c>
      <c r="N2" s="89" t="s">
        <v>421</v>
      </c>
      <c r="O2" s="89"/>
      <c r="P2" s="90"/>
      <c r="Q2" s="90"/>
      <c r="R2" s="90"/>
      <c r="S2" s="63"/>
      <c r="T2" s="296"/>
      <c r="U2" s="297"/>
      <c r="V2" s="297"/>
      <c r="W2" s="298"/>
      <c r="X2" s="294"/>
      <c r="Y2" s="295"/>
      <c r="Z2" s="295"/>
      <c r="AA2" s="296"/>
      <c r="AB2" s="297"/>
      <c r="AC2" s="297"/>
      <c r="AD2" s="298"/>
      <c r="AE2" s="62"/>
      <c r="AF2" s="65"/>
      <c r="AG2" s="65"/>
      <c r="AI2" s="62"/>
      <c r="AP2" s="62"/>
      <c r="AQ2" s="73"/>
      <c r="AW2" s="80"/>
      <c r="ABG2" s="66" t="s">
        <v>406</v>
      </c>
    </row>
    <row r="3" spans="1:735" s="34" customFormat="1">
      <c r="A3" s="56"/>
      <c r="B3" s="56"/>
      <c r="C3" s="34" t="s">
        <v>409</v>
      </c>
      <c r="D3" s="34" t="str">
        <f>Profile!J5</f>
        <v>Cheshire East</v>
      </c>
      <c r="F3" s="76" t="str">
        <f>VLOOKUP(D3,classifications!C:G,4,FALSE)</f>
        <v>UA</v>
      </c>
      <c r="G3" s="34" t="str">
        <f>VLOOKUP(D3,classifications!C:E,3,FALSE)</f>
        <v>North West</v>
      </c>
      <c r="H3" s="83" t="str">
        <f>VLOOKUP(D3,classifications!C:H,6,FALSE)</f>
        <v>Urban with Significant Rural (rural including hub towns 26-49%)</v>
      </c>
      <c r="I3" s="34" t="str">
        <f>VLOOKUP(D3,classifications!C:J,8,FALSE)</f>
        <v>Unitary</v>
      </c>
      <c r="J3" s="34" t="str">
        <f>VLOOKUP(D3,classifications!C:I,7,FALSE)</f>
        <v>Significant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Residual household waste per household (kg/household) (Ex NI191)</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2022-23</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353</v>
      </c>
      <c r="Q7" s="109">
        <f>IF(I8="A",MAX(N11:N343),MIN(N11:N343))</f>
        <v>759.1</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A</v>
      </c>
      <c r="K8" s="62"/>
      <c r="M8" s="111"/>
      <c r="N8" s="111"/>
      <c r="O8" s="111"/>
      <c r="P8" s="78" t="str">
        <f>D3</f>
        <v>Cheshire East</v>
      </c>
      <c r="Q8" s="110">
        <f>VLOOKUP(D3,L11:N343,3,FALSE)</f>
        <v>467.1</v>
      </c>
      <c r="R8" s="111" t="str">
        <f>IF(I8="A",IF(Q8&gt;Q10,"Bottom",IF(Q8&gt;P10,"Third",IF(Q8&gt;O10,"Second","Top"))),IF(Q8&gt;=O10,"Top",IF(Q8&gt;=P10,"Second",IF(Q8&gt;=Q10,"Third","Bottom"))))</f>
        <v>Top</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UA Authorities only</v>
      </c>
      <c r="I9" s="37"/>
      <c r="K9" s="38" t="str">
        <f>"Rank &amp; Quartiles for all "&amp;D1&amp;" Authorities"</f>
        <v>Rank &amp; Quartiles for all UA Authorities</v>
      </c>
      <c r="M9" s="88">
        <f>IF($H$8="%.",(AVERAGE(M11:M343))/100,(AVERAGE(M11:M343)))</f>
        <v>520.51896551724133</v>
      </c>
      <c r="N9" s="88"/>
      <c r="O9" s="91" t="s">
        <v>342</v>
      </c>
      <c r="P9" s="91" t="s">
        <v>353</v>
      </c>
      <c r="Q9" s="91" t="s">
        <v>354</v>
      </c>
      <c r="R9" s="93" t="s">
        <v>402</v>
      </c>
      <c r="S9" s="37"/>
      <c r="T9" s="169" t="s">
        <v>820</v>
      </c>
      <c r="U9" s="170">
        <f>IF($H$8="%.",(AVERAGE(U11:U343))/100,(AVERAGE(U11:U343)))</f>
        <v>499.80833333333334</v>
      </c>
      <c r="V9" s="171"/>
      <c r="W9" s="171"/>
      <c r="X9" s="86" t="str">
        <f>"Lower Level Ranking for Authorites in "&amp;H3&amp;" &amp; are a "&amp;F3</f>
        <v>Lower Level Ranking for Authorites in Urban with Significant Rural (rural including hub towns 26-49%) &amp; are a UA</v>
      </c>
      <c r="Y9" s="88">
        <f>IF($H$8="%.",(AVERAGE(Y11:Y343))/100,(AVERAGE(Y11:Y343)))</f>
        <v>492.68999999999988</v>
      </c>
      <c r="Z9" s="87"/>
      <c r="AA9" s="178" t="s">
        <v>381</v>
      </c>
      <c r="AB9" s="170">
        <f>IF($H$8="%.",(AVERAGE(AB11:AB343))/100,(AVERAGE(AB11:AB343)))</f>
        <v>477.01000000000005</v>
      </c>
      <c r="AC9" s="179"/>
      <c r="AD9" s="179"/>
      <c r="AE9" s="38" t="s">
        <v>411</v>
      </c>
      <c r="AG9" s="88" t="e">
        <f>IF($H$8="%.",(AVERAGE(AG11:AG343))/100,(AVERAGE(AG11:AG343)))</f>
        <v>#N/A</v>
      </c>
      <c r="AI9" s="86" t="str">
        <f>"County Ranking &amp; Top Authorites in "&amp;I3&amp;" &amp; are a "&amp;F3</f>
        <v>County Ranking &amp; Top Authorites in Unitary &amp; are a UA</v>
      </c>
      <c r="AJ9" s="88">
        <f>IF($H$8="%.",(AVERAGE(AJ11:AJ343))/100,(AVERAGE(AJ11:AJ343)))</f>
        <v>521.27719298245609</v>
      </c>
      <c r="AK9" s="87"/>
      <c r="AL9" s="48"/>
      <c r="AM9"/>
      <c r="AN9"/>
      <c r="AP9" s="86" t="str">
        <f>"Regional Ranking in for "&amp;F3</f>
        <v>Regional Ranking in for UA</v>
      </c>
      <c r="AQ9" s="88">
        <f>IF($H$8="%.",(AVERAGE(AQ11:AQ343))/100,(AVERAGE(AQ11:AQ343)))</f>
        <v>509.75000000000006</v>
      </c>
      <c r="AR9" s="87"/>
      <c r="AS9" s="87"/>
      <c r="AT9" s="87"/>
      <c r="AU9" s="87"/>
      <c r="AV9"/>
      <c r="AW9" s="80"/>
      <c r="AX9" s="133" t="str">
        <f>Profile!$W$6</f>
        <v>Residual household waste per household (kg/household) (Ex NI191)</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470.07499999999999</v>
      </c>
      <c r="P10" s="95">
        <f>QUARTILE(N:N,2)</f>
        <v>529.25</v>
      </c>
      <c r="Q10" s="95">
        <f>IF(I8="A",QUARTILE(N:N,3),QUARTILE(N:N,1))</f>
        <v>572.17499999999995</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2022-23</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UA1</v>
      </c>
      <c r="B11" s="60" t="str">
        <f>IF(ISERROR(VLOOKUP(A11,classifications!A:C,3,FALSE)),0,VLOOKUP(A11,classifications!A:C,3,FALSE))</f>
        <v>Cheshire East</v>
      </c>
      <c r="C11" t="s">
        <v>4</v>
      </c>
      <c r="D11" t="str">
        <f>VLOOKUP($C11,classifications!$C:$J,4,FALSE)</f>
        <v>SD</v>
      </c>
      <c r="E11">
        <f>VLOOKUP(C11,classifications!C:K,9,FALSE)</f>
        <v>0</v>
      </c>
      <c r="F11">
        <f t="shared" ref="F11:F42" si="0">HLOOKUP($D$6,AX$10:ZX$355,ROW()-9,FALSE)</f>
        <v>380.3</v>
      </c>
      <c r="G11" s="15"/>
      <c r="H11" s="42" t="str">
        <f t="shared" ref="H11:H42" si="1">IF(D11=$D$1,HLOOKUP($D$6,$AX$10:$ZZ$355,ROW()-9,FALSE),"")</f>
        <v/>
      </c>
      <c r="I11" s="79" t="str">
        <f>IF(H11="","",IF($I$8="A",(RANK(H11,H$11:H$343,1)+COUNTIF(H$11:H11,H11)-1),(RANK(H11,H$11:H$343)+COUNTIF(H$11:H11,H11)-1)))</f>
        <v/>
      </c>
      <c r="J11" s="41"/>
      <c r="K11" s="36">
        <v>1</v>
      </c>
      <c r="L11" t="str">
        <f t="shared" ref="L11:L42" si="2">IF(K11="","",INDEX(C$11:C$343,MATCH(K11,I$11:I$343,0)))</f>
        <v>Reading</v>
      </c>
      <c r="M11" s="117">
        <f t="shared" ref="M11:M42" si="3">IF(L11="","",IF(VLOOKUP(L11,C:D,2,FALSE)=$F$3,VLOOKUP(L11,C:H,6,FALSE),""))</f>
        <v>353</v>
      </c>
      <c r="N11" s="112">
        <f>IF(L11="","",IF($H$8="%%",M11*100,M11))</f>
        <v>353</v>
      </c>
      <c r="O11" s="96">
        <f>IF(I$8="A",IF(N11&gt;=$P$7,IF(N11&lt;=$O$10,N11,""),""),IF(N11&lt;=$P$7,IF(N11&gt;=$O$10,N11,""),""))</f>
        <v>353</v>
      </c>
      <c r="P11" s="96" t="str">
        <f>IF(I$8="A",IF(N11&gt;$O$10,IF(N11&lt;=$P$10,N11,""),""),IF(N11&lt;$O$10,IF(N11&gt;=$P$10,N11,""),""))</f>
        <v/>
      </c>
      <c r="Q11" s="96" t="str">
        <f>IF(I$8="A",IF(N11&gt;$P$10,IF(N11&lt;=$Q$10,N11,""),""),IF(N11&lt;$P$10,IF(N11&gt;=$Q$10,N11,""),""))</f>
        <v/>
      </c>
      <c r="R11" s="92" t="str">
        <f>IF(I$8="A",IF(N11&gt;$Q$10,N11,""),IF(N11&lt;$Q$10,N11,""))</f>
        <v/>
      </c>
      <c r="S11" s="42" t="str">
        <f>IF(L11=D$3,"u","")</f>
        <v/>
      </c>
      <c r="T11" s="167">
        <f>IF(L11="","",VLOOKUP(L11,classifications!C:K,9,FALSE))</f>
        <v>0</v>
      </c>
      <c r="U11" s="168" t="str">
        <f>IF(T11="Sparse",M11,"")</f>
        <v/>
      </c>
      <c r="V11" s="174" t="str">
        <f>IF(U11="","",IF($I$8="A",(RANK(U11,U$11:U$343)+COUNTIF(U$11:U11,U11)-1),(RANK(U11,U$11:U$343,1)+COUNTIF(U$11:U11,U11)-1)))</f>
        <v/>
      </c>
      <c r="W11" s="175"/>
      <c r="X11" s="5" t="str">
        <f>IF(L11="","",VLOOKUP($L11,classifications!$C:$J,6,FALSE))</f>
        <v>Urban with City and Town</v>
      </c>
      <c r="Y11" t="str">
        <f t="shared" ref="Y11:Y74" si="4">IF($D$1="UA",IF(X11="Largely Rural (rural including hub towns 50-79%) ",M11,IF(X11="Mainly Rural (rural including hub towns &gt;=80%) ",M11,IF(X11="Urban with Significant Rural (rural including hub towns 26-49%)",M11,""))),IF($D$1="SD",IF(X11=$H$3,M11,"")))</f>
        <v/>
      </c>
      <c r="Z11" s="40" t="str">
        <f>IF(Y11="","",IF(I$8="A",(RANK(Y11,Y$11:Y$343,1)+COUNTIF(Y$11:Y11,Y11)-1),(RANK(Y11,Y$11:Y$343)+COUNTIF(Y$11:Y11,Y11)-1)))</f>
        <v/>
      </c>
      <c r="AA11" s="180" t="str">
        <f>IF(L11="","",VLOOKUP($L11,classifications!C:I,7,FALSE))</f>
        <v>Predominantly Urban</v>
      </c>
      <c r="AB11" s="174" t="str">
        <f>IF(AA11=$J$3,M11,"")</f>
        <v/>
      </c>
      <c r="AC11" s="174" t="str">
        <f>IF(AB11="","",IF($I$8="A",(RANK(AB11,AB$11:AB$343)+COUNTIF(AB$11:AB11,AB11)-1),(RANK(AB11,AB$11:AB$343,1)+COUNTIF(AB$11:AB11,AB11)-1)))</f>
        <v/>
      </c>
      <c r="AD11" s="174"/>
      <c r="AE11" s="49" t="e">
        <f>IF(I$8="A",(RANK(AG11,AG$11:AG$343,1)+COUNTIF(AG$11:AG11,AG11)-1),(RANK(AG11,AG$11:AG$343)+COUNTIF(AG$11:AG11,AG11)-1))</f>
        <v>#N/A</v>
      </c>
      <c r="AF11" s="47" t="str">
        <f>'Filtered Data'!D3</f>
        <v>Cheshire East</v>
      </c>
      <c r="AG11" s="107">
        <f>VLOOKUP(Profile!$J$5,$C$11:$H$343,4,FALSE)</f>
        <v>467.1</v>
      </c>
      <c r="AH11" s="50" t="e">
        <f>AE11</f>
        <v>#N/A</v>
      </c>
      <c r="AI11" s="5" t="str">
        <f>IF(L11="","",VLOOKUP($L11,classifications!$C:$J,8,FALSE))</f>
        <v>Unitary</v>
      </c>
      <c r="AJ11" s="43">
        <f t="shared" ref="AJ11:AJ74" si="5">IF(AI11=$I$3,M11,"")</f>
        <v>353</v>
      </c>
      <c r="AK11" s="40">
        <f>IF(AJ11="","",IF(I$8="A",(RANK(AJ11,AJ$11:AJ$343,1)+COUNTIF(AJ$11:AJ11,AJ11)-1),(RANK(AJ11,AJ$11:AJ$343)+COUNTIF(AJ$11:AJ11,AJ11)-1)))</f>
        <v>1</v>
      </c>
      <c r="AL11" s="40">
        <v>1</v>
      </c>
      <c r="AM11" t="str">
        <f t="shared" ref="AM11:AM42" si="6">IF(ISNA(IF(AL11="","",INDEX(L$11:L$343,MATCH(AL11,AK$11:AK$343,0)))),"",(IF(AL11="","",INDEX(L$11:L$343,MATCH(AL11,AK$11:AK$343,0)))))</f>
        <v>Reading</v>
      </c>
      <c r="AN11">
        <f t="shared" ref="AN11:AN42" si="7">(VLOOKUP(AM11,L:M,2,FALSE))</f>
        <v>353</v>
      </c>
      <c r="AP11" s="5" t="str">
        <f>IF(L11="","",VLOOKUP($L11,classifications!$C:$E,3,FALSE))</f>
        <v>South East</v>
      </c>
      <c r="AQ11" s="43" t="str">
        <f>IF(AP11=$G$3,$M11,"")</f>
        <v/>
      </c>
      <c r="AR11" s="40" t="str">
        <f>IF(AQ11="","",IF(I$8="A",(RANK(AQ11,AQ$11:AQ$343,1)+COUNTIF(AQ$11:AQ11,AQ11)-1),(RANK(AQ11,AQ$11:AQ$343)+COUNTIF(AQ$11:AQ11,AQ11)-1)))</f>
        <v/>
      </c>
      <c r="AS11" s="40">
        <v>1</v>
      </c>
      <c r="AT11" s="40" t="str">
        <f t="shared" ref="AT11:AT42" si="8">IF(AS11="","",INDEX(L$11:L$343,MATCH(AS11,AR$11:AR$343,0)))</f>
        <v>Cheshire West &amp; Chester</v>
      </c>
      <c r="AU11" s="43">
        <f t="shared" ref="AU11:AU42" si="9">IF(AT11="","",VLOOKUP(AT11,L:M,2,FALSE))</f>
        <v>413.3</v>
      </c>
      <c r="AX11">
        <f>HLOOKUP($AX$9&amp;$AX$10,Data!$A$1:$ZZ$1980,(MATCH($C11,Data!$A$1:$A$1980,0)),FALSE)</f>
        <v>380.3</v>
      </c>
    </row>
    <row r="12" spans="1:735">
      <c r="A12" s="59" t="str">
        <f>$D$1&amp;2</f>
        <v>UA2</v>
      </c>
      <c r="B12" s="60" t="str">
        <f>IF(ISERROR(VLOOKUP(A12,classifications!A:C,3,FALSE)),0,VLOOKUP(A12,classifications!A:C,3,FALSE))</f>
        <v>Cornwall</v>
      </c>
      <c r="C12" t="s">
        <v>6</v>
      </c>
      <c r="D12" t="str">
        <f>VLOOKUP($C12,classifications!$C:$J,4,FALSE)</f>
        <v>SD</v>
      </c>
      <c r="E12" t="str">
        <f>VLOOKUP(C12,classifications!C:K,9,FALSE)</f>
        <v>Sparse</v>
      </c>
      <c r="F12">
        <f t="shared" si="0"/>
        <v>522.20000000000005</v>
      </c>
      <c r="G12" s="15"/>
      <c r="H12" s="42" t="str">
        <f t="shared" si="1"/>
        <v/>
      </c>
      <c r="I12" s="79" t="str">
        <f>IF(H12="","",IF($I$8="A",(RANK(H12,H$11:H$343,1)+COUNTIF(H$11:H12,H12)-1),(RANK(H12,H$11:H$343)+COUNTIF(H$11:H12,H12)-1)))</f>
        <v/>
      </c>
      <c r="J12" s="41"/>
      <c r="K12" s="36">
        <f t="shared" ref="K12:K43" si="10">IF(K11="","",IF(K11+1&gt;(COUNT(H$11:H$343)),"",K11+1))</f>
        <v>2</v>
      </c>
      <c r="L12" t="str">
        <f t="shared" si="2"/>
        <v>Bath &amp; North East Somerset</v>
      </c>
      <c r="M12" s="117">
        <f t="shared" si="3"/>
        <v>354</v>
      </c>
      <c r="N12" s="112">
        <f>IF(L12="","",IF($H$8="%%",M12*100,M12))</f>
        <v>354</v>
      </c>
      <c r="O12" s="96">
        <f t="shared" ref="O12:O74" si="11">IF(I$8="A",IF(N12&gt;=$P$7,IF(N12&lt;=$O$10,N12,""),""),IF(N12&lt;=$P$7,IF(N12&gt;=$O$10,N12,""),""))</f>
        <v>354</v>
      </c>
      <c r="P12" s="96" t="str">
        <f>IF(I$8="A",IF(N12&gt;$O$10,IF(N12&lt;=$P$10,N12,""),""),IF(N12&lt;$O$10,IF(N12&gt;=$P$10,N12,""),""))</f>
        <v/>
      </c>
      <c r="Q12" s="96" t="str">
        <f>IF(I$8="A",IF(N12&gt;$P$10,IF(N12&lt;=$Q$10,N12,""),""),IF(N12&lt;$P$10,IF(N12&gt;=$Q$10,N12,""),""))</f>
        <v/>
      </c>
      <c r="R12" s="92" t="str">
        <f>IF(I$8="A",IF(N12&gt;$Q$10,N12,""),IF(N12&lt;$Q$10,N12,""))</f>
        <v/>
      </c>
      <c r="S12" s="42" t="str">
        <f t="shared" ref="S12:S75" si="12">IF(L12=D$3,"u","")</f>
        <v/>
      </c>
      <c r="T12" s="167">
        <f>IF(L12="","",VLOOKUP(L12,classifications!C:K,9,FALSE))</f>
        <v>0</v>
      </c>
      <c r="U12" s="168" t="str">
        <f t="shared" ref="U12:U42" si="13">IF(T12="Sparse",M12,"")</f>
        <v/>
      </c>
      <c r="V12" s="174" t="str">
        <f>IF(U12="","",IF($I$8="A",(RANK(U12,U$11:U$343)+COUNTIF(U$11:U12,U12)-1),(RANK(U12,U$11:U$343,1)+COUNTIF(U$11:U12,U12)-1)))</f>
        <v/>
      </c>
      <c r="W12" s="175"/>
      <c r="X12" s="5" t="str">
        <f>IF(L12="","",VLOOKUP($L12,classifications!$C:$J,6,FALSE))</f>
        <v>Urban with Significant Rural (rural including hub towns 26-49%)</v>
      </c>
      <c r="Y12">
        <f t="shared" si="4"/>
        <v>354</v>
      </c>
      <c r="Z12" s="40">
        <f>IF(Y12="","",IF(I$8="A",(RANK(Y12,Y$11:Y$343,1)+COUNTIF(Y$11:Y12,Y12)-1),(RANK(Y12,Y$11:Y$343)+COUNTIF(Y$11:Y12,Y12)-1)))</f>
        <v>1</v>
      </c>
      <c r="AA12" s="180" t="str">
        <f>IF(L12="","",VLOOKUP($L12,classifications!C:I,7,FALSE))</f>
        <v>Significant Rural</v>
      </c>
      <c r="AB12" s="174">
        <f t="shared" ref="AB12:AB75" si="14">IF(AA12=$J$3,M12,"")</f>
        <v>354</v>
      </c>
      <c r="AC12" s="174">
        <f>IF(AB12="","",IF($I$8="A",(RANK(AB12,AB$11:AB$343)+COUNTIF(AB$11:AB12,AB12)-1),(RANK(AB12,AB$11:AB$343,1)+COUNTIF(AB$11:AB12,AB12)-1)))</f>
        <v>10</v>
      </c>
      <c r="AD12" s="174"/>
      <c r="AE12" s="49" t="e">
        <f>IF(I$8="A",(RANK(AG12,AG$11:AG$343,1)+COUNTIF(AG$11:AG12,AG12)-1),(RANK(AG12,AG$11:AG$343)+COUNTIF(AG$11:AG12,AG12)-1))</f>
        <v>#N/A</v>
      </c>
      <c r="AF12" t="str">
        <f>VLOOKUP(Profile!$J$5,Families!$C:$R,2,FALSE)</f>
        <v>Cheshire West &amp; Chester</v>
      </c>
      <c r="AG12" s="15">
        <f t="shared" ref="AG12:AG26" si="15">VLOOKUP(AF12,$C$11:$H$343,4,FALSE)</f>
        <v>413.3</v>
      </c>
      <c r="AH12" s="50" t="e">
        <f>AE12</f>
        <v>#N/A</v>
      </c>
      <c r="AI12" s="5" t="str">
        <f>IF(L12="","",VLOOKUP($L12,classifications!$C:$J,8,FALSE))</f>
        <v>Unitary</v>
      </c>
      <c r="AJ12" s="43">
        <f t="shared" si="5"/>
        <v>354</v>
      </c>
      <c r="AK12" s="40">
        <f>IF(AJ12="","",IF(I$8="A",(RANK(AJ12,AJ$11:AJ$343,1)+COUNTIF(AJ$11:AJ12,AJ12)-1),(RANK(AJ12,AJ$11:AJ$343)+COUNTIF(AJ$11:AJ12,AJ12)-1)))</f>
        <v>2</v>
      </c>
      <c r="AL12" s="3">
        <f t="shared" ref="AL12:AL43" si="16">IF(AL11="","",IF(AL11+1&gt;(COUNT(AJ$11:AJ$343)),"",AL11+1))</f>
        <v>2</v>
      </c>
      <c r="AM12" t="str">
        <f t="shared" si="6"/>
        <v>Bath &amp; North East Somerset</v>
      </c>
      <c r="AN12">
        <f t="shared" si="7"/>
        <v>354</v>
      </c>
      <c r="AP12" s="5" t="str">
        <f>IF(L12="","",VLOOKUP($L12,classifications!$C:$E,3,FALSE))</f>
        <v>South West</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Cheshire East</v>
      </c>
      <c r="AU12" s="43">
        <f t="shared" si="9"/>
        <v>467.1</v>
      </c>
      <c r="AX12">
        <f>HLOOKUP($AX$9&amp;$AX$10,Data!$A$1:$ZZ$1980,(MATCH($C12,Data!$A$1:$A$1980,0)),FALSE)</f>
        <v>522.20000000000005</v>
      </c>
    </row>
    <row r="13" spans="1:735">
      <c r="A13" s="59" t="str">
        <f>$D$1&amp;3</f>
        <v>UA3</v>
      </c>
      <c r="B13" s="60" t="str">
        <f>IF(ISERROR(VLOOKUP(A13,classifications!A:C,3,FALSE)),0,VLOOKUP(A13,classifications!A:C,3,FALSE))</f>
        <v>Durham</v>
      </c>
      <c r="C13" t="s">
        <v>7</v>
      </c>
      <c r="D13" t="str">
        <f>VLOOKUP($C13,classifications!$C:$J,4,FALSE)</f>
        <v>SD</v>
      </c>
      <c r="E13">
        <f>VLOOKUP(C13,classifications!C:K,9,FALSE)</f>
        <v>0</v>
      </c>
      <c r="F13">
        <f t="shared" si="0"/>
        <v>526.29999999999995</v>
      </c>
      <c r="G13" s="15"/>
      <c r="H13" s="42" t="str">
        <f t="shared" si="1"/>
        <v/>
      </c>
      <c r="I13" s="79" t="str">
        <f>IF(H13="","",IF($I$8="A",(RANK(H13,H$11:H$343,1)+COUNTIF(H$11:H13,H13)-1),(RANK(H13,H$11:H$343)+COUNTIF(H$11:H13,H13)-1)))</f>
        <v/>
      </c>
      <c r="J13" s="41"/>
      <c r="K13" s="36">
        <f t="shared" si="10"/>
        <v>3</v>
      </c>
      <c r="L13" t="str">
        <f t="shared" si="2"/>
        <v>North Somerset</v>
      </c>
      <c r="M13" s="117">
        <f t="shared" si="3"/>
        <v>373.6</v>
      </c>
      <c r="N13" s="112">
        <f>IF(L13="","",IF($H$8="%%",M13*100,M13))</f>
        <v>373.6</v>
      </c>
      <c r="O13" s="96">
        <f t="shared" si="11"/>
        <v>373.6</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t="str">
        <f>IF(L13="","",VLOOKUP(L13,classifications!C:K,9,FALSE))</f>
        <v>Sparse</v>
      </c>
      <c r="U13" s="168">
        <f t="shared" si="13"/>
        <v>373.6</v>
      </c>
      <c r="V13" s="174">
        <f>IF(U13="","",IF($I$8="A",(RANK(U13,U$11:U$343)+COUNTIF(U$11:U13,U13)-1),(RANK(U13,U$11:U$343,1)+COUNTIF(U$11:U13,U13)-1)))</f>
        <v>12</v>
      </c>
      <c r="W13" s="175"/>
      <c r="X13" s="5" t="str">
        <f>IF(L13="","",VLOOKUP($L13,classifications!$C:$J,6,FALSE))</f>
        <v>Urban with Significant Rural (rural including hub towns 26-49%)</v>
      </c>
      <c r="Y13">
        <f t="shared" si="4"/>
        <v>373.6</v>
      </c>
      <c r="Z13" s="40">
        <f>IF(Y13="","",IF(I$8="A",(RANK(Y13,Y$11:Y$343,1)+COUNTIF(Y$11:Y13,Y13)-1),(RANK(Y13,Y$11:Y$343)+COUNTIF(Y$11:Y13,Y13)-1)))</f>
        <v>2</v>
      </c>
      <c r="AA13" s="180" t="str">
        <f>IF(L13="","",VLOOKUP($L13,classifications!C:I,7,FALSE))</f>
        <v>Significant Rural</v>
      </c>
      <c r="AB13" s="174">
        <f>IF(AA13=$J$3,M13,"")</f>
        <v>373.6</v>
      </c>
      <c r="AC13" s="174">
        <f>IF(AB13="","",IF($I$8="A",(RANK(AB13,AB$11:AB$343)+COUNTIF(AB$11:AB13,AB13)-1),(RANK(AB13,AB$11:AB$343,1)+COUNTIF(AB$11:AB13,AB13)-1)))</f>
        <v>9</v>
      </c>
      <c r="AD13" s="174"/>
      <c r="AE13" s="49" t="e">
        <f>IF(I$8="A",(RANK(AG13,AG$11:AG$343,1)+COUNTIF(AG$11:AG13,AG13)-1),(RANK(AG13,AG$11:AG$343)+COUNTIF(AG$11:AG13,AG13)-1))</f>
        <v>#N/A</v>
      </c>
      <c r="AF13" t="str">
        <f>VLOOKUP(Profile!$J$5,Families!$C:$R,3,FALSE)</f>
        <v>Shropshire</v>
      </c>
      <c r="AG13" s="15">
        <f t="shared" si="15"/>
        <v>502</v>
      </c>
      <c r="AH13" s="50" t="e">
        <f t="shared" ref="AH13:AH26" si="22">AE13</f>
        <v>#N/A</v>
      </c>
      <c r="AI13" s="5" t="str">
        <f>IF(L13="","",VLOOKUP($L13,classifications!$C:$J,8,FALSE))</f>
        <v>Unitary</v>
      </c>
      <c r="AJ13" s="43">
        <f>IF(AI13=$I$3,M13,"")</f>
        <v>373.6</v>
      </c>
      <c r="AK13" s="40">
        <f>IF(AJ13="","",IF(I$8="A",(RANK(AJ13,AJ$11:AJ$343,1)+COUNTIF(AJ$11:AJ13,AJ13)-1),(RANK(AJ13,AJ$11:AJ$343)+COUNTIF(AJ$11:AJ13,AJ13)-1)))</f>
        <v>3</v>
      </c>
      <c r="AL13" s="3">
        <f t="shared" si="16"/>
        <v>3</v>
      </c>
      <c r="AM13" t="str">
        <f t="shared" si="6"/>
        <v>North Somerset</v>
      </c>
      <c r="AN13">
        <f t="shared" si="7"/>
        <v>373.6</v>
      </c>
      <c r="AP13" s="5" t="str">
        <f>IF(L13="","",VLOOKUP($L13,classifications!$C:$E,3,FALSE))</f>
        <v>South West</v>
      </c>
      <c r="AQ13" s="43" t="str">
        <f t="shared" si="17"/>
        <v/>
      </c>
      <c r="AR13" s="40" t="str">
        <f>IF(AQ13="","",IF(I$8="A",(RANK(AQ13,AQ$11:AQ$343,1)+COUNTIF(AQ$11:AQ13,AQ13)-1),(RANK(AQ13,AQ$11:AQ$343)+COUNTIF(AQ$11:AQ13,AQ13)-1)))</f>
        <v/>
      </c>
      <c r="AS13" s="3">
        <f t="shared" si="18"/>
        <v>3</v>
      </c>
      <c r="AT13" s="40" t="str">
        <f t="shared" si="8"/>
        <v>Blackpool</v>
      </c>
      <c r="AU13" s="43">
        <f t="shared" si="9"/>
        <v>469.9</v>
      </c>
      <c r="AX13">
        <f>HLOOKUP($AX$9&amp;$AX$10,Data!$A$1:$ZZ$1980,(MATCH($C13,Data!$A$1:$A$1980,0)),FALSE)</f>
        <v>526.29999999999995</v>
      </c>
    </row>
    <row r="14" spans="1:735">
      <c r="A14" s="59" t="str">
        <f>$D$1&amp;4</f>
        <v>UA4</v>
      </c>
      <c r="B14" s="60" t="str">
        <f>IF(ISERROR(VLOOKUP(A14,classifications!A:C,3,FALSE)),0,VLOOKUP(A14,classifications!A:C,3,FALSE))</f>
        <v>East Riding of Yorkshire</v>
      </c>
      <c r="C14" t="s">
        <v>8</v>
      </c>
      <c r="D14" t="str">
        <f>VLOOKUP($C14,classifications!$C:$J,4,FALSE)</f>
        <v>SD</v>
      </c>
      <c r="E14">
        <f>VLOOKUP(C14,classifications!C:K,9,FALSE)</f>
        <v>0</v>
      </c>
      <c r="F14">
        <f t="shared" si="0"/>
        <v>431.8</v>
      </c>
      <c r="G14" s="15"/>
      <c r="H14" s="42" t="str">
        <f t="shared" si="1"/>
        <v/>
      </c>
      <c r="I14" s="79" t="str">
        <f>IF(H14="","",IF($I$8="A",(RANK(H14,H$11:H$343,1)+COUNTIF(H$11:H14,H14)-1),(RANK(H14,H$11:H$343)+COUNTIF(H$11:H14,H14)-1)))</f>
        <v/>
      </c>
      <c r="J14" s="41"/>
      <c r="K14" s="36">
        <f t="shared" si="10"/>
        <v>4</v>
      </c>
      <c r="L14" t="str">
        <f t="shared" si="2"/>
        <v>South Gloucestershire</v>
      </c>
      <c r="M14" s="117">
        <f t="shared" si="3"/>
        <v>377.7</v>
      </c>
      <c r="N14" s="112">
        <f t="shared" ref="N14:N75" si="23">IF(L14="","",IF($H$8="%%",M14*100,M14))</f>
        <v>377.7</v>
      </c>
      <c r="O14" s="96">
        <f t="shared" si="11"/>
        <v>377.7</v>
      </c>
      <c r="P14" s="96" t="str">
        <f t="shared" si="19"/>
        <v/>
      </c>
      <c r="Q14" s="96" t="str">
        <f t="shared" si="20"/>
        <v/>
      </c>
      <c r="R14" s="92" t="str">
        <f t="shared" si="21"/>
        <v/>
      </c>
      <c r="S14" s="42" t="str">
        <f t="shared" si="12"/>
        <v/>
      </c>
      <c r="T14" s="167">
        <f>IF(L14="","",VLOOKUP(L14,classifications!C:K,9,FALSE))</f>
        <v>0</v>
      </c>
      <c r="U14" s="168" t="str">
        <f t="shared" si="13"/>
        <v/>
      </c>
      <c r="V14" s="174" t="str">
        <f>IF(U14="","",IF($I$8="A",(RANK(U14,U$11:U$343)+COUNTIF(U$11:U14,U14)-1),(RANK(U14,U$11:U$343,1)+COUNTIF(U$11:U14,U14)-1)))</f>
        <v/>
      </c>
      <c r="W14" s="175"/>
      <c r="X14" s="5" t="str">
        <f>IF(L14="","",VLOOKUP($L14,classifications!$C:$J,6,FALSE))</f>
        <v>Urban with City and Town</v>
      </c>
      <c r="Y14" t="str">
        <f t="shared" si="4"/>
        <v/>
      </c>
      <c r="Z14" s="40" t="str">
        <f>IF(Y14="","",IF(I$8="A",(RANK(Y14,Y$11:Y$343,1)+COUNTIF(Y$11:Y14,Y14)-1),(RANK(Y14,Y$11:Y$343)+COUNTIF(Y$11:Y14,Y14)-1)))</f>
        <v/>
      </c>
      <c r="AA14" s="180" t="str">
        <f>IF(L14="","",VLOOKUP($L14,classifications!C:I,7,FALSE))</f>
        <v>Predominantly Urban</v>
      </c>
      <c r="AB14" s="174" t="str">
        <f t="shared" si="14"/>
        <v/>
      </c>
      <c r="AC14" s="174" t="str">
        <f>IF(AB14="","",IF($I$8="A",(RANK(AB14,AB$11:AB$343)+COUNTIF(AB$11:AB14,AB14)-1),(RANK(AB14,AB$11:AB$343,1)+COUNTIF(AB$11:AB14,AB14)-1)))</f>
        <v/>
      </c>
      <c r="AD14" s="174"/>
      <c r="AE14" s="49" t="e">
        <f>IF(I$8="A",(RANK(AG14,AG$11:AG$343,1)+COUNTIF(AG$11:AG14,AG14)-1),(RANK(AG14,AG$11:AG$343)+COUNTIF(AG$11:AG14,AG14)-1))</f>
        <v>#N/A</v>
      </c>
      <c r="AF14" t="str">
        <f>VLOOKUP(Profile!$J$5,Families!$C:$R,4,FALSE)</f>
        <v>Wiltshire</v>
      </c>
      <c r="AG14" s="15">
        <f t="shared" si="15"/>
        <v>542.4</v>
      </c>
      <c r="AH14" s="50" t="e">
        <f t="shared" si="22"/>
        <v>#N/A</v>
      </c>
      <c r="AI14" s="5" t="str">
        <f>IF(L14="","",VLOOKUP($L14,classifications!$C:$J,8,FALSE))</f>
        <v>Unitary</v>
      </c>
      <c r="AJ14" s="43">
        <f t="shared" si="5"/>
        <v>377.7</v>
      </c>
      <c r="AK14" s="40">
        <f>IF(AJ14="","",IF(I$8="A",(RANK(AJ14,AJ$11:AJ$343,1)+COUNTIF(AJ$11:AJ14,AJ14)-1),(RANK(AJ14,AJ$11:AJ$343)+COUNTIF(AJ$11:AJ14,AJ14)-1)))</f>
        <v>4</v>
      </c>
      <c r="AL14" s="3">
        <f t="shared" si="16"/>
        <v>4</v>
      </c>
      <c r="AM14" t="str">
        <f t="shared" si="6"/>
        <v>South Gloucestershire</v>
      </c>
      <c r="AN14">
        <f t="shared" si="7"/>
        <v>377.7</v>
      </c>
      <c r="AP14" s="5" t="str">
        <f>IF(L14="","",VLOOKUP($L14,classifications!$C:$E,3,FALSE))</f>
        <v>South West</v>
      </c>
      <c r="AQ14" s="43" t="str">
        <f t="shared" si="17"/>
        <v/>
      </c>
      <c r="AR14" s="40" t="str">
        <f>IF(AQ14="","",IF(I$8="A",(RANK(AQ14,AQ$11:AQ$343,1)+COUNTIF(AQ$11:AQ14,AQ14)-1),(RANK(AQ14,AQ$11:AQ$343)+COUNTIF(AQ$11:AQ14,AQ14)-1)))</f>
        <v/>
      </c>
      <c r="AS14" s="3">
        <f t="shared" si="18"/>
        <v>4</v>
      </c>
      <c r="AT14" s="40" t="str">
        <f t="shared" si="8"/>
        <v>Warrington</v>
      </c>
      <c r="AU14" s="43">
        <f t="shared" si="9"/>
        <v>517.6</v>
      </c>
      <c r="AX14">
        <f>HLOOKUP($AX$9&amp;$AX$10,Data!$A$1:$ZZ$1980,(MATCH($C14,Data!$A$1:$A$1980,0)),FALSE)</f>
        <v>431.8</v>
      </c>
    </row>
    <row r="15" spans="1:735">
      <c r="A15" s="59" t="str">
        <f>$D$1&amp;5</f>
        <v>UA5</v>
      </c>
      <c r="B15" s="60" t="str">
        <f>IF(ISERROR(VLOOKUP(A15,classifications!A:C,3,FALSE)),0,VLOOKUP(A15,classifications!A:C,3,FALSE))</f>
        <v>Herefordshire</v>
      </c>
      <c r="C15" t="s">
        <v>9</v>
      </c>
      <c r="D15" t="str">
        <f>VLOOKUP($C15,classifications!$C:$J,4,FALSE)</f>
        <v>SD</v>
      </c>
      <c r="E15">
        <f>VLOOKUP(C15,classifications!C:K,9,FALSE)</f>
        <v>0</v>
      </c>
      <c r="F15">
        <f t="shared" si="0"/>
        <v>507.7</v>
      </c>
      <c r="G15" s="15"/>
      <c r="H15" s="42" t="str">
        <f t="shared" si="1"/>
        <v/>
      </c>
      <c r="I15" s="79" t="str">
        <f>IF(H15="","",IF($I$8="A",(RANK(H15,H$11:H$343,1)+COUNTIF(H$11:H15,H15)-1),(RANK(H15,H$11:H$343)+COUNTIF(H$11:H15,H15)-1)))</f>
        <v/>
      </c>
      <c r="J15" s="41"/>
      <c r="K15" s="36">
        <f t="shared" si="10"/>
        <v>5</v>
      </c>
      <c r="L15" t="str">
        <f t="shared" si="2"/>
        <v>Dorset</v>
      </c>
      <c r="M15" s="117">
        <f t="shared" si="3"/>
        <v>377.9</v>
      </c>
      <c r="N15" s="112">
        <f t="shared" si="23"/>
        <v>377.9</v>
      </c>
      <c r="O15" s="96">
        <f t="shared" si="11"/>
        <v>377.9</v>
      </c>
      <c r="P15" s="96" t="str">
        <f t="shared" si="19"/>
        <v/>
      </c>
      <c r="Q15" s="96" t="str">
        <f t="shared" si="20"/>
        <v/>
      </c>
      <c r="R15" s="92" t="str">
        <f t="shared" si="21"/>
        <v/>
      </c>
      <c r="S15" s="42" t="str">
        <f t="shared" si="12"/>
        <v/>
      </c>
      <c r="T15" s="167">
        <f>IF(L15="","",VLOOKUP(L15,classifications!C:K,9,FALSE))</f>
        <v>0</v>
      </c>
      <c r="U15" s="168" t="str">
        <f t="shared" si="13"/>
        <v/>
      </c>
      <c r="V15" s="174" t="str">
        <f>IF(U15="","",IF($I$8="A",(RANK(U15,U$11:U$343)+COUNTIF(U$11:U15,U15)-1),(RANK(U15,U$11:U$343,1)+COUNTIF(U$11:U15,U15)-1)))</f>
        <v/>
      </c>
      <c r="W15" s="175"/>
      <c r="X15" s="5" t="str">
        <f>IF(L15="","",VLOOKUP($L15,classifications!$C:$J,6,FALSE))</f>
        <v xml:space="preserve">Largely Rural (rural including hub towns 50-79%) </v>
      </c>
      <c r="Y15">
        <f t="shared" si="4"/>
        <v>377.9</v>
      </c>
      <c r="Z15" s="40">
        <f>IF(Y15="","",IF(I$8="A",(RANK(Y15,Y$11:Y$343,1)+COUNTIF(Y$11:Y15,Y15)-1),(RANK(Y15,Y$11:Y$343)+COUNTIF(Y$11:Y15,Y15)-1)))</f>
        <v>3</v>
      </c>
      <c r="AA15" s="180" t="str">
        <f>IF(L15="","",VLOOKUP($L15,classifications!C:I,7,FALSE))</f>
        <v>Predominantly Rural</v>
      </c>
      <c r="AB15" s="174" t="str">
        <f t="shared" si="14"/>
        <v/>
      </c>
      <c r="AC15" s="174" t="str">
        <f>IF(AB15="","",IF($I$8="A",(RANK(AB15,AB$11:AB$343)+COUNTIF(AB$11:AB15,AB15)-1),(RANK(AB15,AB$11:AB$343,1)+COUNTIF(AB$11:AB15,AB15)-1)))</f>
        <v/>
      </c>
      <c r="AD15" s="174"/>
      <c r="AE15" s="49" t="e">
        <f>IF(I$8="A",(RANK(AG15,AG$11:AG$343,1)+COUNTIF(AG$11:AG15,AG15)-1),(RANK(AG15,AG$11:AG$343)+COUNTIF(AG$11:AG15,AG15)-1))</f>
        <v>#N/A</v>
      </c>
      <c r="AF15" t="str">
        <f>VLOOKUP(Profile!$J$5,Families!$C:$R,5,FALSE)</f>
        <v>Bath &amp; North East Somerset</v>
      </c>
      <c r="AG15" s="15">
        <f t="shared" si="15"/>
        <v>354</v>
      </c>
      <c r="AH15" s="50" t="e">
        <f t="shared" si="22"/>
        <v>#N/A</v>
      </c>
      <c r="AI15" s="5" t="str">
        <f>IF(L15="","",VLOOKUP($L15,classifications!$C:$J,8,FALSE))</f>
        <v>Unitary</v>
      </c>
      <c r="AJ15" s="43">
        <f t="shared" si="5"/>
        <v>377.9</v>
      </c>
      <c r="AK15" s="40">
        <f>IF(AJ15="","",IF(I$8="A",(RANK(AJ15,AJ$11:AJ$343,1)+COUNTIF(AJ$11:AJ15,AJ15)-1),(RANK(AJ15,AJ$11:AJ$343)+COUNTIF(AJ$11:AJ15,AJ15)-1)))</f>
        <v>5</v>
      </c>
      <c r="AL15" s="3">
        <f t="shared" si="16"/>
        <v>5</v>
      </c>
      <c r="AM15" t="str">
        <f t="shared" si="6"/>
        <v>Dorset</v>
      </c>
      <c r="AN15">
        <f t="shared" si="7"/>
        <v>377.9</v>
      </c>
      <c r="AP15" s="5" t="str">
        <f>IF(L15="","",VLOOKUP($L15,classifications!$C:$E,3,FALSE))</f>
        <v>South West</v>
      </c>
      <c r="AQ15" s="43" t="str">
        <f t="shared" si="17"/>
        <v/>
      </c>
      <c r="AR15" s="40" t="str">
        <f>IF(AQ15="","",IF(I$8="A",(RANK(AQ15,AQ$11:AQ$343,1)+COUNTIF(AQ$11:AQ15,AQ15)-1),(RANK(AQ15,AQ$11:AQ$343)+COUNTIF(AQ$11:AQ15,AQ15)-1)))</f>
        <v/>
      </c>
      <c r="AS15" s="3">
        <f t="shared" si="18"/>
        <v>5</v>
      </c>
      <c r="AT15" s="40" t="str">
        <f t="shared" si="8"/>
        <v>Blackburn with Darwen</v>
      </c>
      <c r="AU15" s="43">
        <f t="shared" si="9"/>
        <v>591.70000000000005</v>
      </c>
      <c r="AX15">
        <f>HLOOKUP($AX$9&amp;$AX$10,Data!$A$1:$ZZ$1980,(MATCH($C15,Data!$A$1:$A$1980,0)),FALSE)</f>
        <v>507.7</v>
      </c>
    </row>
    <row r="16" spans="1:735">
      <c r="A16" s="59" t="str">
        <f>$D$1&amp;6</f>
        <v>UA6</v>
      </c>
      <c r="B16" s="60" t="str">
        <f>IF(ISERROR(VLOOKUP(A16,classifications!A:C,3,FALSE)),0,VLOOKUP(A16,classifications!A:C,3,FALSE))</f>
        <v>Isle of Wight</v>
      </c>
      <c r="C16" t="s">
        <v>10</v>
      </c>
      <c r="D16" t="str">
        <f>VLOOKUP($C16,classifications!$C:$J,4,FALSE)</f>
        <v>SD</v>
      </c>
      <c r="E16">
        <f>VLOOKUP(C16,classifications!C:K,9,FALSE)</f>
        <v>0</v>
      </c>
      <c r="F16">
        <f t="shared" si="0"/>
        <v>385.8</v>
      </c>
      <c r="G16" s="15"/>
      <c r="H16" s="42" t="str">
        <f t="shared" si="1"/>
        <v/>
      </c>
      <c r="I16" s="79" t="str">
        <f>IF(H16="","",IF($I$8="A",(RANK(H16,H$11:H$343,1)+COUNTIF(H$11:H16,H16)-1),(RANK(H16,H$11:H$343)+COUNTIF(H$11:H16,H16)-1)))</f>
        <v/>
      </c>
      <c r="J16" s="41"/>
      <c r="K16" s="36">
        <f t="shared" si="10"/>
        <v>6</v>
      </c>
      <c r="L16" t="str">
        <f t="shared" si="2"/>
        <v>Bracknell Forest</v>
      </c>
      <c r="M16" s="117">
        <f t="shared" si="3"/>
        <v>392.2</v>
      </c>
      <c r="N16" s="112">
        <f t="shared" si="23"/>
        <v>392.2</v>
      </c>
      <c r="O16" s="96">
        <f t="shared" si="11"/>
        <v>392.2</v>
      </c>
      <c r="P16" s="96" t="str">
        <f t="shared" si="19"/>
        <v/>
      </c>
      <c r="Q16" s="96" t="str">
        <f t="shared" si="20"/>
        <v/>
      </c>
      <c r="R16" s="92" t="str">
        <f t="shared" si="21"/>
        <v/>
      </c>
      <c r="S16" s="42" t="str">
        <f t="shared" si="12"/>
        <v/>
      </c>
      <c r="T16" s="167">
        <f>IF(L16="","",VLOOKUP(L16,classifications!C:K,9,FALSE))</f>
        <v>0</v>
      </c>
      <c r="U16" s="168" t="str">
        <f t="shared" si="13"/>
        <v/>
      </c>
      <c r="V16" s="174" t="str">
        <f>IF(U16="","",IF($I$8="A",(RANK(U16,U$11:U$343)+COUNTIF(U$11:U16,U16)-1),(RANK(U16,U$11:U$343,1)+COUNTIF(U$11:U16,U16)-1)))</f>
        <v/>
      </c>
      <c r="W16" s="175"/>
      <c r="X16" s="5" t="str">
        <f>IF(L16="","",VLOOKUP($L16,classifications!$C:$J,6,FALSE))</f>
        <v>Urban with City and Town</v>
      </c>
      <c r="Y16" t="str">
        <f t="shared" si="4"/>
        <v/>
      </c>
      <c r="Z16" s="40" t="str">
        <f>IF(Y16="","",IF(I$8="A",(RANK(Y16,Y$11:Y$343,1)+COUNTIF(Y$11:Y16,Y16)-1),(RANK(Y16,Y$11:Y$343)+COUNTIF(Y$11:Y16,Y16)-1)))</f>
        <v/>
      </c>
      <c r="AA16" s="180" t="str">
        <f>IF(L16="","",VLOOKUP($L16,classifications!C:I,7,FALSE))</f>
        <v>Predominantly Urban</v>
      </c>
      <c r="AB16" s="174" t="str">
        <f t="shared" si="14"/>
        <v/>
      </c>
      <c r="AC16" s="174" t="str">
        <f>IF(AB16="","",IF($I$8="A",(RANK(AB16,AB$11:AB$343)+COUNTIF(AB$11:AB16,AB16)-1),(RANK(AB16,AB$11:AB$343,1)+COUNTIF(AB$11:AB16,AB16)-1)))</f>
        <v/>
      </c>
      <c r="AD16" s="174"/>
      <c r="AE16" s="49" t="e">
        <f>IF(I$8="A",(RANK(AG16,AG$11:AG$343,1)+COUNTIF(AG$11:AG16,AG16)-1),(RANK(AG16,AG$11:AG$343)+COUNTIF(AG$11:AG16,AG16)-1))</f>
        <v>#N/A</v>
      </c>
      <c r="AF16" t="str">
        <f>VLOOKUP(Profile!$J$5,Families!$C:$R,6,FALSE)</f>
        <v>Herefordshire</v>
      </c>
      <c r="AG16" s="15">
        <f t="shared" si="15"/>
        <v>481.2</v>
      </c>
      <c r="AH16" s="50" t="e">
        <f t="shared" si="22"/>
        <v>#N/A</v>
      </c>
      <c r="AI16" s="5" t="str">
        <f>IF(L16="","",VLOOKUP($L16,classifications!$C:$J,8,FALSE))</f>
        <v>Unitary</v>
      </c>
      <c r="AJ16" s="43">
        <f t="shared" si="5"/>
        <v>392.2</v>
      </c>
      <c r="AK16" s="40">
        <f>IF(AJ16="","",IF(I$8="A",(RANK(AJ16,AJ$11:AJ$343,1)+COUNTIF(AJ$11:AJ16,AJ16)-1),(RANK(AJ16,AJ$11:AJ$343)+COUNTIF(AJ$11:AJ16,AJ16)-1)))</f>
        <v>6</v>
      </c>
      <c r="AL16" s="3">
        <f t="shared" si="16"/>
        <v>6</v>
      </c>
      <c r="AM16" t="str">
        <f t="shared" si="6"/>
        <v>Bracknell Forest</v>
      </c>
      <c r="AN16">
        <f t="shared" si="7"/>
        <v>392.2</v>
      </c>
      <c r="AP16" s="5" t="str">
        <f>IF(L16="","",VLOOKUP($L16,classifications!$C:$E,3,FALSE))</f>
        <v>South East</v>
      </c>
      <c r="AQ16" s="43" t="str">
        <f t="shared" si="17"/>
        <v/>
      </c>
      <c r="AR16" s="40" t="str">
        <f>IF(AQ16="","",IF(I$8="A",(RANK(AQ16,AQ$11:AQ$343,1)+COUNTIF(AQ$11:AQ16,AQ16)-1),(RANK(AQ16,AQ$11:AQ$343)+COUNTIF(AQ$11:AQ16,AQ16)-1)))</f>
        <v/>
      </c>
      <c r="AS16" s="3">
        <f t="shared" si="18"/>
        <v>6</v>
      </c>
      <c r="AT16" s="40" t="str">
        <f t="shared" si="8"/>
        <v>Halton</v>
      </c>
      <c r="AU16" s="43">
        <f t="shared" si="9"/>
        <v>598.9</v>
      </c>
      <c r="AX16">
        <f>HLOOKUP($AX$9&amp;$AX$10,Data!$A$1:$ZZ$1980,(MATCH($C16,Data!$A$1:$A$1980,0)),FALSE)</f>
        <v>385.8</v>
      </c>
    </row>
    <row r="17" spans="1:50">
      <c r="A17" s="59" t="str">
        <f>$D$1&amp;7</f>
        <v>UA7</v>
      </c>
      <c r="B17" s="60" t="str">
        <f>IF(ISERROR(VLOOKUP(A17,classifications!A:C,3,FALSE)),0,VLOOKUP(A17,classifications!A:C,3,FALSE))</f>
        <v>North Lincolnshire</v>
      </c>
      <c r="C17" t="s">
        <v>905</v>
      </c>
      <c r="D17" t="str">
        <f>VLOOKUP($C17,classifications!$C:$J,4,FALSE)</f>
        <v>SD</v>
      </c>
      <c r="E17" t="str">
        <f>VLOOKUP(C17,classifications!C:K,9,FALSE)</f>
        <v>Sparse</v>
      </c>
      <c r="F17" t="str">
        <f t="shared" si="0"/>
        <v>..</v>
      </c>
      <c r="G17" s="15"/>
      <c r="H17" s="42" t="str">
        <f t="shared" si="1"/>
        <v/>
      </c>
      <c r="I17" s="79" t="str">
        <f>IF(H17="","",IF($I$8="A",(RANK(H17,H$11:H$343,1)+COUNTIF(H$11:H17,H17)-1),(RANK(H17,H$11:H$343)+COUNTIF(H$11:H17,H17)-1)))</f>
        <v/>
      </c>
      <c r="J17" s="41"/>
      <c r="K17" s="36">
        <f t="shared" si="10"/>
        <v>7</v>
      </c>
      <c r="L17" t="str">
        <f t="shared" si="2"/>
        <v>Isle of Wight</v>
      </c>
      <c r="M17" s="117">
        <f t="shared" si="3"/>
        <v>397.1</v>
      </c>
      <c r="N17" s="112">
        <f t="shared" si="23"/>
        <v>397.1</v>
      </c>
      <c r="O17" s="96">
        <f t="shared" si="11"/>
        <v>397.1</v>
      </c>
      <c r="P17" s="96" t="str">
        <f t="shared" si="19"/>
        <v/>
      </c>
      <c r="Q17" s="96" t="str">
        <f t="shared" si="20"/>
        <v/>
      </c>
      <c r="R17" s="92" t="str">
        <f t="shared" si="21"/>
        <v/>
      </c>
      <c r="S17" s="42" t="str">
        <f t="shared" si="12"/>
        <v/>
      </c>
      <c r="T17" s="167" t="str">
        <f>IF(L17="","",VLOOKUP(L17,classifications!C:K,9,FALSE))</f>
        <v>Sparse</v>
      </c>
      <c r="U17" s="168">
        <f t="shared" si="13"/>
        <v>397.1</v>
      </c>
      <c r="V17" s="174">
        <f>IF(U17="","",IF($I$8="A",(RANK(U17,U$11:U$343)+COUNTIF(U$11:U17,U17)-1),(RANK(U17,U$11:U$343,1)+COUNTIF(U$11:U17,U17)-1)))</f>
        <v>11</v>
      </c>
      <c r="W17" s="175"/>
      <c r="X17" s="5" t="str">
        <f>IF(L17="","",VLOOKUP($L17,classifications!$C:$J,6,FALSE))</f>
        <v xml:space="preserve">Mainly Rural (rural including hub towns &gt;=80%) </v>
      </c>
      <c r="Y17">
        <f t="shared" si="4"/>
        <v>397.1</v>
      </c>
      <c r="Z17" s="40">
        <f>IF(Y17="","",IF(I$8="A",(RANK(Y17,Y$11:Y$343,1)+COUNTIF(Y$11:Y17,Y17)-1),(RANK(Y17,Y$11:Y$343)+COUNTIF(Y$11:Y17,Y17)-1)))</f>
        <v>4</v>
      </c>
      <c r="AA17" s="180" t="str">
        <f>IF(L17="","",VLOOKUP($L17,classifications!C:I,7,FALSE))</f>
        <v>Predominantly Rural</v>
      </c>
      <c r="AB17" s="174" t="str">
        <f t="shared" si="14"/>
        <v/>
      </c>
      <c r="AC17" s="174" t="str">
        <f>IF(AB17="","",IF($I$8="A",(RANK(AB17,AB$11:AB$343)+COUNTIF(AB$11:AB17,AB17)-1),(RANK(AB17,AB$11:AB$343,1)+COUNTIF(AB$11:AB17,AB17)-1)))</f>
        <v/>
      </c>
      <c r="AD17" s="174"/>
      <c r="AE17" s="49" t="e">
        <f>IF(I$8="A",(RANK(AG17,AG$11:AG$343,1)+COUNTIF(AG$11:AG17,AG17)-1),(RANK(AG17,AG$11:AG$343)+COUNTIF(AG$11:AG17,AG17)-1))</f>
        <v>#N/A</v>
      </c>
      <c r="AF17" t="str">
        <f>VLOOKUP(Profile!$J$5,Families!$C:$R,7,FALSE)</f>
        <v>Solihull</v>
      </c>
      <c r="AG17" s="15">
        <f t="shared" si="15"/>
        <v>541.4</v>
      </c>
      <c r="AH17" s="50" t="e">
        <f t="shared" si="22"/>
        <v>#N/A</v>
      </c>
      <c r="AI17" s="5" t="str">
        <f>IF(L17="","",VLOOKUP($L17,classifications!$C:$J,8,FALSE))</f>
        <v>Unitary</v>
      </c>
      <c r="AJ17" s="43">
        <f t="shared" si="5"/>
        <v>397.1</v>
      </c>
      <c r="AK17" s="40">
        <f>IF(AJ17="","",IF(I$8="A",(RANK(AJ17,AJ$11:AJ$343,1)+COUNTIF(AJ$11:AJ17,AJ17)-1),(RANK(AJ17,AJ$11:AJ$343)+COUNTIF(AJ$11:AJ17,AJ17)-1)))</f>
        <v>7</v>
      </c>
      <c r="AL17" s="3">
        <f t="shared" si="16"/>
        <v>7</v>
      </c>
      <c r="AM17" t="str">
        <f t="shared" si="6"/>
        <v>Isle of Wight</v>
      </c>
      <c r="AN17">
        <f t="shared" si="7"/>
        <v>397.1</v>
      </c>
      <c r="AP17" s="5" t="str">
        <f>IF(L17="","",VLOOKUP($L17,classifications!$C:$E,3,FALSE))</f>
        <v>South East</v>
      </c>
      <c r="AQ17" s="43" t="str">
        <f t="shared" si="17"/>
        <v/>
      </c>
      <c r="AR17" s="40" t="str">
        <f>IF(AQ17="","",IF(I$8="A",(RANK(AQ17,AQ$11:AQ$343,1)+COUNTIF(AQ$11:AQ17,AQ17)-1),(RANK(AQ17,AQ$11:AQ$343)+COUNTIF(AQ$11:AQ17,AQ17)-1)))</f>
        <v/>
      </c>
      <c r="AS17" s="3" t="str">
        <f t="shared" si="18"/>
        <v/>
      </c>
      <c r="AT17" s="40" t="str">
        <f t="shared" si="8"/>
        <v/>
      </c>
      <c r="AU17" s="43" t="str">
        <f t="shared" si="9"/>
        <v/>
      </c>
      <c r="AX17" t="str">
        <f>HLOOKUP($AX$9&amp;$AX$10,Data!$A$1:$ZZ$1980,(MATCH($C17,Data!$A$1:$A$1980,0)),FALSE)</f>
        <v>..</v>
      </c>
    </row>
    <row r="18" spans="1:50">
      <c r="A18" s="59" t="str">
        <f>$D$1&amp;8</f>
        <v>UA8</v>
      </c>
      <c r="B18" s="60" t="str">
        <f>IF(ISERROR(VLOOKUP(A18,classifications!A:C,3,FALSE)),0,VLOOKUP(A18,classifications!A:C,3,FALSE))</f>
        <v>North Somerset</v>
      </c>
      <c r="C18" t="s">
        <v>12</v>
      </c>
      <c r="D18" t="str">
        <f>VLOOKUP($C18,classifications!$C:$J,4,FALSE)</f>
        <v>SD</v>
      </c>
      <c r="E18" t="str">
        <f>VLOOKUP(C18,classifications!C:K,9,FALSE)</f>
        <v>Sparse</v>
      </c>
      <c r="F18" t="str">
        <f t="shared" si="0"/>
        <v>..</v>
      </c>
      <c r="G18" s="15"/>
      <c r="H18" s="42" t="str">
        <f t="shared" si="1"/>
        <v/>
      </c>
      <c r="I18" s="79" t="str">
        <f>IF(H18="","",IF($I$8="A",(RANK(H18,H$11:H$343,1)+COUNTIF(H$11:H18,H18)-1),(RANK(H18,H$11:H$343)+COUNTIF(H$11:H18,H18)-1)))</f>
        <v/>
      </c>
      <c r="J18" s="41"/>
      <c r="K18" s="36">
        <f t="shared" si="10"/>
        <v>8</v>
      </c>
      <c r="L18" t="str">
        <f t="shared" si="2"/>
        <v>Bristol</v>
      </c>
      <c r="M18" s="117">
        <f t="shared" si="3"/>
        <v>404.8</v>
      </c>
      <c r="N18" s="112">
        <f t="shared" si="23"/>
        <v>404.8</v>
      </c>
      <c r="O18" s="96">
        <f t="shared" si="11"/>
        <v>404.8</v>
      </c>
      <c r="P18" s="96" t="str">
        <f t="shared" si="19"/>
        <v/>
      </c>
      <c r="Q18" s="96" t="str">
        <f t="shared" si="20"/>
        <v/>
      </c>
      <c r="R18" s="92" t="str">
        <f t="shared" si="21"/>
        <v/>
      </c>
      <c r="S18" s="42" t="str">
        <f t="shared" si="12"/>
        <v/>
      </c>
      <c r="T18" s="167">
        <f>IF(L18="","",VLOOKUP(L18,classifications!C:K,9,FALSE))</f>
        <v>0</v>
      </c>
      <c r="U18" s="168" t="str">
        <f t="shared" si="13"/>
        <v/>
      </c>
      <c r="V18" s="174" t="str">
        <f>IF(U18="","",IF($I$8="A",(RANK(U18,U$11:U$343)+COUNTIF(U$11:U18,U18)-1),(RANK(U18,U$11:U$343,1)+COUNTIF(U$11:U18,U18)-1)))</f>
        <v/>
      </c>
      <c r="W18" s="175"/>
      <c r="X18" s="5" t="str">
        <f>IF(L18="","",VLOOKUP($L18,classifications!$C:$J,6,FALSE))</f>
        <v>Urban with City and Town</v>
      </c>
      <c r="Y18" t="str">
        <f t="shared" si="4"/>
        <v/>
      </c>
      <c r="Z18" s="40" t="str">
        <f>IF(Y18="","",IF(I$8="A",(RANK(Y18,Y$11:Y$343,1)+COUNTIF(Y$11:Y18,Y18)-1),(RANK(Y18,Y$11:Y$343)+COUNTIF(Y$11:Y18,Y18)-1)))</f>
        <v/>
      </c>
      <c r="AA18" s="180" t="str">
        <f>IF(L18="","",VLOOKUP($L18,classifications!C:I,7,FALSE))</f>
        <v>Predominantly Urban</v>
      </c>
      <c r="AB18" s="174" t="str">
        <f t="shared" si="14"/>
        <v/>
      </c>
      <c r="AC18" s="174" t="str">
        <f>IF(AB18="","",IF($I$8="A",(RANK(AB18,AB$11:AB$343)+COUNTIF(AB$11:AB18,AB18)-1),(RANK(AB18,AB$11:AB$343,1)+COUNTIF(AB$11:AB18,AB18)-1)))</f>
        <v/>
      </c>
      <c r="AD18" s="174"/>
      <c r="AE18" s="49" t="e">
        <f>IF(I$8="A",(RANK(AG18,AG$11:AG$343,1)+COUNTIF(AG$11:AG18,AG18)-1),(RANK(AG18,AG$11:AG$343)+COUNTIF(AG$11:AG18,AG18)-1))</f>
        <v>#N/A</v>
      </c>
      <c r="AF18" t="str">
        <f>VLOOKUP(Profile!$J$5,Families!$C:$R,8,FALSE)</f>
        <v>Stockport</v>
      </c>
      <c r="AG18" s="15">
        <f t="shared" si="15"/>
        <v>300.2</v>
      </c>
      <c r="AH18" s="50" t="e">
        <f t="shared" si="22"/>
        <v>#N/A</v>
      </c>
      <c r="AI18" s="5" t="str">
        <f>IF(L18="","",VLOOKUP($L18,classifications!$C:$J,8,FALSE))</f>
        <v>Unitary</v>
      </c>
      <c r="AJ18" s="43">
        <f t="shared" si="5"/>
        <v>404.8</v>
      </c>
      <c r="AK18" s="40">
        <f>IF(AJ18="","",IF(I$8="A",(RANK(AJ18,AJ$11:AJ$343,1)+COUNTIF(AJ$11:AJ18,AJ18)-1),(RANK(AJ18,AJ$11:AJ$343)+COUNTIF(AJ$11:AJ18,AJ18)-1)))</f>
        <v>8</v>
      </c>
      <c r="AL18" s="3">
        <f t="shared" si="16"/>
        <v>8</v>
      </c>
      <c r="AM18" t="str">
        <f t="shared" si="6"/>
        <v>Bristol</v>
      </c>
      <c r="AN18">
        <f t="shared" si="7"/>
        <v>404.8</v>
      </c>
      <c r="AP18" s="5" t="str">
        <f>IF(L18="","",VLOOKUP($L18,classifications!$C:$E,3,FALSE))</f>
        <v>South West</v>
      </c>
      <c r="AQ18" s="43" t="str">
        <f t="shared" si="17"/>
        <v/>
      </c>
      <c r="AR18" s="40" t="str">
        <f>IF(AQ18="","",IF(I$8="A",(RANK(AQ18,AQ$11:AQ$343,1)+COUNTIF(AQ$11:AQ18,AQ18)-1),(RANK(AQ18,AQ$11:AQ$343)+COUNTIF(AQ$11:AQ18,AQ18)-1)))</f>
        <v/>
      </c>
      <c r="AS18" s="3" t="str">
        <f t="shared" si="18"/>
        <v/>
      </c>
      <c r="AT18" s="40" t="str">
        <f t="shared" si="8"/>
        <v/>
      </c>
      <c r="AU18" s="43" t="str">
        <f t="shared" si="9"/>
        <v/>
      </c>
      <c r="AX18" t="str">
        <f>HLOOKUP($AX$9&amp;$AX$10,Data!$A$1:$ZZ$1980,(MATCH($C18,Data!$A$1:$A$1980,0)),FALSE)</f>
        <v>..</v>
      </c>
    </row>
    <row r="19" spans="1:50">
      <c r="A19" s="59" t="str">
        <f>$D$1&amp;9</f>
        <v>UA9</v>
      </c>
      <c r="B19" s="60" t="str">
        <f>IF(ISERROR(VLOOKUP(A19,classifications!A:C,3,FALSE)),0,VLOOKUP(A19,classifications!A:C,3,FALSE))</f>
        <v>Northumberland</v>
      </c>
      <c r="C19" t="s">
        <v>339</v>
      </c>
      <c r="D19" t="str">
        <f>VLOOKUP($C19,classifications!$C:$J,4,FALSE)</f>
        <v>L</v>
      </c>
      <c r="E19">
        <f>VLOOKUP(C19,classifications!C:K,9,FALSE)</f>
        <v>0</v>
      </c>
      <c r="F19">
        <f t="shared" si="0"/>
        <v>673</v>
      </c>
      <c r="G19" s="15"/>
      <c r="H19" s="42" t="str">
        <f t="shared" si="1"/>
        <v/>
      </c>
      <c r="I19" s="79" t="str">
        <f>IF(H19="","",IF($I$8="A",(RANK(H19,H$11:H$343,1)+COUNTIF(H$11:H19,H19)-1),(RANK(H19,H$11:H$343)+COUNTIF(H$11:H19,H19)-1)))</f>
        <v/>
      </c>
      <c r="J19" s="41"/>
      <c r="K19" s="36">
        <f t="shared" si="10"/>
        <v>9</v>
      </c>
      <c r="L19" t="str">
        <f t="shared" si="2"/>
        <v>Cheshire West &amp; Chester</v>
      </c>
      <c r="M19" s="117">
        <f t="shared" si="3"/>
        <v>413.3</v>
      </c>
      <c r="N19" s="112">
        <f t="shared" si="23"/>
        <v>413.3</v>
      </c>
      <c r="O19" s="96">
        <f t="shared" si="11"/>
        <v>413.3</v>
      </c>
      <c r="P19" s="96" t="str">
        <f t="shared" si="19"/>
        <v/>
      </c>
      <c r="Q19" s="96" t="str">
        <f t="shared" si="20"/>
        <v/>
      </c>
      <c r="R19" s="92" t="str">
        <f t="shared" si="21"/>
        <v/>
      </c>
      <c r="S19" s="42" t="str">
        <f t="shared" si="12"/>
        <v/>
      </c>
      <c r="T19" s="167">
        <f>IF(L19="","",VLOOKUP(L19,classifications!C:K,9,FALSE))</f>
        <v>0</v>
      </c>
      <c r="U19" s="168" t="str">
        <f t="shared" si="13"/>
        <v/>
      </c>
      <c r="V19" s="174" t="str">
        <f>IF(U19="","",IF($I$8="A",(RANK(U19,U$11:U$343)+COUNTIF(U$11:U19,U19)-1),(RANK(U19,U$11:U$343,1)+COUNTIF(U$11:U19,U19)-1)))</f>
        <v/>
      </c>
      <c r="W19" s="175"/>
      <c r="X19" s="5" t="str">
        <f>IF(L19="","",VLOOKUP($L19,classifications!$C:$J,6,FALSE))</f>
        <v>Urban with Significant Rural (rural including hub towns 26-49%)</v>
      </c>
      <c r="Y19">
        <f t="shared" si="4"/>
        <v>413.3</v>
      </c>
      <c r="Z19" s="40">
        <f>IF(Y19="","",IF(I$8="A",(RANK(Y19,Y$11:Y$343,1)+COUNTIF(Y$11:Y19,Y19)-1),(RANK(Y19,Y$11:Y$343)+COUNTIF(Y$11:Y19,Y19)-1)))</f>
        <v>5</v>
      </c>
      <c r="AA19" s="180" t="str">
        <f>IF(L19="","",VLOOKUP($L19,classifications!C:I,7,FALSE))</f>
        <v>Significant Rural</v>
      </c>
      <c r="AB19" s="174">
        <f t="shared" si="14"/>
        <v>413.3</v>
      </c>
      <c r="AC19" s="174">
        <f>IF(AB19="","",IF($I$8="A",(RANK(AB19,AB$11:AB$343)+COUNTIF(AB$11:AB19,AB19)-1),(RANK(AB19,AB$11:AB$343,1)+COUNTIF(AB$11:AB19,AB19)-1)))</f>
        <v>8</v>
      </c>
      <c r="AD19" s="174"/>
      <c r="AE19" s="49" t="e">
        <f>IF(I$8="A",(RANK(AG19,AG$11:AG$343,1)+COUNTIF(AG$11:AG19,AG19)-1),(RANK(AG19,AG$11:AG$343)+COUNTIF(AG$11:AG19,AG19)-1))</f>
        <v>#N/A</v>
      </c>
      <c r="AF19" t="str">
        <f>VLOOKUP(Profile!$J$5,Families!$C:$R,9,FALSE)</f>
        <v>Central Bedfordshire</v>
      </c>
      <c r="AG19" s="15">
        <f t="shared" si="15"/>
        <v>530</v>
      </c>
      <c r="AH19" s="50" t="e">
        <f t="shared" si="22"/>
        <v>#N/A</v>
      </c>
      <c r="AI19" s="5" t="str">
        <f>IF(L19="","",VLOOKUP($L19,classifications!$C:$J,8,FALSE))</f>
        <v>Unitary</v>
      </c>
      <c r="AJ19" s="43">
        <f t="shared" si="5"/>
        <v>413.3</v>
      </c>
      <c r="AK19" s="40">
        <f>IF(AJ19="","",IF(I$8="A",(RANK(AJ19,AJ$11:AJ$343,1)+COUNTIF(AJ$11:AJ19,AJ19)-1),(RANK(AJ19,AJ$11:AJ$343)+COUNTIF(AJ$11:AJ19,AJ19)-1)))</f>
        <v>9</v>
      </c>
      <c r="AL19" s="3">
        <f t="shared" si="16"/>
        <v>9</v>
      </c>
      <c r="AM19" t="str">
        <f t="shared" si="6"/>
        <v>Cheshire West &amp; Chester</v>
      </c>
      <c r="AN19">
        <f t="shared" si="7"/>
        <v>413.3</v>
      </c>
      <c r="AP19" s="5" t="str">
        <f>IF(L19="","",VLOOKUP($L19,classifications!$C:$E,3,FALSE))</f>
        <v>North West</v>
      </c>
      <c r="AQ19" s="43">
        <f t="shared" si="17"/>
        <v>413.3</v>
      </c>
      <c r="AR19" s="40">
        <f>IF(AQ19="","",IF(I$8="A",(RANK(AQ19,AQ$11:AQ$343,1)+COUNTIF(AQ$11:AQ19,AQ19)-1),(RANK(AQ19,AQ$11:AQ$343)+COUNTIF(AQ$11:AQ19,AQ19)-1)))</f>
        <v>1</v>
      </c>
      <c r="AS19" s="3" t="str">
        <f t="shared" si="18"/>
        <v/>
      </c>
      <c r="AT19" s="40" t="str">
        <f t="shared" si="8"/>
        <v/>
      </c>
      <c r="AU19" s="43" t="str">
        <f t="shared" si="9"/>
        <v/>
      </c>
      <c r="AX19">
        <f>HLOOKUP($AX$9&amp;$AX$10,Data!$A$1:$ZZ$1980,(MATCH($C19,Data!$A$1:$A$1980,0)),FALSE)</f>
        <v>673</v>
      </c>
    </row>
    <row r="20" spans="1:50">
      <c r="A20" s="59" t="str">
        <f>$D$1&amp;10</f>
        <v>UA10</v>
      </c>
      <c r="B20" s="60" t="str">
        <f>IF(ISERROR(VLOOKUP(A20,classifications!A:C,3,FALSE)),0,VLOOKUP(A20,classifications!A:C,3,FALSE))</f>
        <v>Rutland</v>
      </c>
      <c r="C20" t="s">
        <v>197</v>
      </c>
      <c r="D20" t="str">
        <f>VLOOKUP($C20,classifications!$C:$J,4,FALSE)</f>
        <v>L</v>
      </c>
      <c r="E20">
        <f>VLOOKUP(C20,classifications!C:K,9,FALSE)</f>
        <v>0</v>
      </c>
      <c r="F20">
        <f t="shared" si="0"/>
        <v>634.70000000000005</v>
      </c>
      <c r="G20" s="15"/>
      <c r="H20" s="42" t="str">
        <f t="shared" si="1"/>
        <v/>
      </c>
      <c r="I20" s="79" t="str">
        <f>IF(H20="","",IF($I$8="A",(RANK(H20,H$11:H$343,1)+COUNTIF(H$11:H20,H20)-1),(RANK(H20,H$11:H$343)+COUNTIF(H$11:H20,H20)-1)))</f>
        <v/>
      </c>
      <c r="J20" s="41"/>
      <c r="K20" s="36">
        <f t="shared" si="10"/>
        <v>10</v>
      </c>
      <c r="L20" t="str">
        <f t="shared" si="2"/>
        <v>East Riding of Yorkshire</v>
      </c>
      <c r="M20" s="117">
        <f t="shared" si="3"/>
        <v>415.4</v>
      </c>
      <c r="N20" s="112">
        <f t="shared" si="23"/>
        <v>415.4</v>
      </c>
      <c r="O20" s="96">
        <f t="shared" si="11"/>
        <v>415.4</v>
      </c>
      <c r="P20" s="96" t="str">
        <f t="shared" si="19"/>
        <v/>
      </c>
      <c r="Q20" s="96" t="str">
        <f t="shared" si="20"/>
        <v/>
      </c>
      <c r="R20" s="92" t="str">
        <f t="shared" si="21"/>
        <v/>
      </c>
      <c r="S20" s="42" t="str">
        <f t="shared" si="12"/>
        <v/>
      </c>
      <c r="T20" s="167" t="str">
        <f>IF(L20="","",VLOOKUP(L20,classifications!C:K,9,FALSE))</f>
        <v>Sparse</v>
      </c>
      <c r="U20" s="168">
        <f t="shared" si="13"/>
        <v>415.4</v>
      </c>
      <c r="V20" s="174">
        <f>IF(U20="","",IF($I$8="A",(RANK(U20,U$11:U$343)+COUNTIF(U$11:U20,U20)-1),(RANK(U20,U$11:U$343,1)+COUNTIF(U$11:U20,U20)-1)))</f>
        <v>10</v>
      </c>
      <c r="W20" s="175"/>
      <c r="X20" s="5" t="str">
        <f>IF(L20="","",VLOOKUP($L20,classifications!$C:$J,6,FALSE))</f>
        <v xml:space="preserve">Largely Rural (rural including hub towns 50-79%) </v>
      </c>
      <c r="Y20">
        <f t="shared" si="4"/>
        <v>415.4</v>
      </c>
      <c r="Z20" s="40">
        <f>IF(Y20="","",IF(I$8="A",(RANK(Y20,Y$11:Y$343,1)+COUNTIF(Y$11:Y20,Y20)-1),(RANK(Y20,Y$11:Y$343)+COUNTIF(Y$11:Y20,Y20)-1)))</f>
        <v>6</v>
      </c>
      <c r="AA20" s="180" t="str">
        <f>IF(L20="","",VLOOKUP($L20,classifications!C:I,7,FALSE))</f>
        <v>Predominantly Rural</v>
      </c>
      <c r="AB20" s="174" t="str">
        <f t="shared" si="14"/>
        <v/>
      </c>
      <c r="AC20" s="174" t="str">
        <f>IF(AB20="","",IF($I$8="A",(RANK(AB20,AB$11:AB$343)+COUNTIF(AB$11:AB20,AB20)-1),(RANK(AB20,AB$11:AB$343,1)+COUNTIF(AB$11:AB20,AB20)-1)))</f>
        <v/>
      </c>
      <c r="AD20" s="174"/>
      <c r="AE20" s="49" t="e">
        <f>IF(I$8="A",(RANK(AG20,AG$11:AG$343,1)+COUNTIF(AG$11:AG20,AG20)-1),(RANK(AG20,AG$11:AG$343)+COUNTIF(AG$11:AG20,AG20)-1))</f>
        <v>#N/A</v>
      </c>
      <c r="AF20" t="str">
        <f>VLOOKUP(Profile!$J$5,Families!$C:$R,10,FALSE)</f>
        <v>North Somerset</v>
      </c>
      <c r="AG20" s="15">
        <f t="shared" si="15"/>
        <v>373.6</v>
      </c>
      <c r="AH20" s="50" t="e">
        <f t="shared" si="22"/>
        <v>#N/A</v>
      </c>
      <c r="AI20" s="5" t="str">
        <f>IF(L20="","",VLOOKUP($L20,classifications!$C:$J,8,FALSE))</f>
        <v>Unitary</v>
      </c>
      <c r="AJ20" s="43">
        <f t="shared" si="5"/>
        <v>415.4</v>
      </c>
      <c r="AK20" s="40">
        <f>IF(AJ20="","",IF(I$8="A",(RANK(AJ20,AJ$11:AJ$343,1)+COUNTIF(AJ$11:AJ20,AJ20)-1),(RANK(AJ20,AJ$11:AJ$343)+COUNTIF(AJ$11:AJ20,AJ20)-1)))</f>
        <v>10</v>
      </c>
      <c r="AL20" s="3">
        <f t="shared" si="16"/>
        <v>10</v>
      </c>
      <c r="AM20" t="str">
        <f t="shared" si="6"/>
        <v>East Riding of Yorkshire</v>
      </c>
      <c r="AN20">
        <f t="shared" si="7"/>
        <v>415.4</v>
      </c>
      <c r="AP20" s="5" t="str">
        <f>IF(L20="","",VLOOKUP($L20,classifications!$C:$E,3,FALSE))</f>
        <v>Yorkshire &amp; Humberside</v>
      </c>
      <c r="AQ20" s="43" t="str">
        <f t="shared" si="17"/>
        <v/>
      </c>
      <c r="AR20" s="40" t="str">
        <f>IF(AQ20="","",IF(I$8="A",(RANK(AQ20,AQ$11:AQ$343,1)+COUNTIF(AQ$11:AQ20,AQ20)-1),(RANK(AQ20,AQ$11:AQ$343)+COUNTIF(AQ$11:AQ20,AQ20)-1)))</f>
        <v/>
      </c>
      <c r="AS20" s="3" t="str">
        <f t="shared" si="18"/>
        <v/>
      </c>
      <c r="AT20" s="40" t="str">
        <f t="shared" si="8"/>
        <v/>
      </c>
      <c r="AU20" s="43" t="str">
        <f t="shared" si="9"/>
        <v/>
      </c>
      <c r="AX20">
        <f>HLOOKUP($AX$9&amp;$AX$10,Data!$A$1:$ZZ$1980,(MATCH($C20,Data!$A$1:$A$1980,0)),FALSE)</f>
        <v>634.70000000000005</v>
      </c>
    </row>
    <row r="21" spans="1:50">
      <c r="A21" s="59" t="str">
        <f>$D$1&amp;11</f>
        <v>UA11</v>
      </c>
      <c r="B21" s="60" t="str">
        <f>IF(ISERROR(VLOOKUP(A21,classifications!A:C,3,FALSE)),0,VLOOKUP(A21,classifications!A:C,3,FALSE))</f>
        <v>Shropshire</v>
      </c>
      <c r="C21" t="s">
        <v>223</v>
      </c>
      <c r="D21" t="str">
        <f>VLOOKUP($C21,classifications!$C:$J,4,FALSE)</f>
        <v>MD</v>
      </c>
      <c r="E21">
        <f>VLOOKUP(C21,classifications!C:K,9,FALSE)</f>
        <v>0</v>
      </c>
      <c r="F21">
        <f t="shared" si="0"/>
        <v>480</v>
      </c>
      <c r="G21" s="15"/>
      <c r="H21" s="42" t="str">
        <f t="shared" si="1"/>
        <v/>
      </c>
      <c r="I21" s="79" t="str">
        <f>IF(H21="","",IF($I$8="A",(RANK(H21,H$11:H$343,1)+COUNTIF(H$11:H21,H21)-1),(RANK(H21,H$11:H$343)+COUNTIF(H$11:H21,H21)-1)))</f>
        <v/>
      </c>
      <c r="J21" s="41"/>
      <c r="K21" s="36">
        <f t="shared" si="10"/>
        <v>11</v>
      </c>
      <c r="L21" t="str">
        <f t="shared" si="2"/>
        <v>Wokingham</v>
      </c>
      <c r="M21" s="117">
        <f t="shared" si="3"/>
        <v>420.4</v>
      </c>
      <c r="N21" s="112">
        <f t="shared" si="23"/>
        <v>420.4</v>
      </c>
      <c r="O21" s="96">
        <f t="shared" si="11"/>
        <v>420.4</v>
      </c>
      <c r="P21" s="96" t="str">
        <f t="shared" si="19"/>
        <v/>
      </c>
      <c r="Q21" s="96" t="str">
        <f t="shared" si="20"/>
        <v/>
      </c>
      <c r="R21" s="92" t="str">
        <f t="shared" si="21"/>
        <v/>
      </c>
      <c r="S21" s="42" t="str">
        <f t="shared" si="12"/>
        <v/>
      </c>
      <c r="T21" s="167">
        <f>IF(L21="","",VLOOKUP(L21,classifications!C:K,9,FALSE))</f>
        <v>0</v>
      </c>
      <c r="U21" s="168" t="str">
        <f t="shared" si="13"/>
        <v/>
      </c>
      <c r="V21" s="174" t="str">
        <f>IF(U21="","",IF($I$8="A",(RANK(U21,U$11:U$343)+COUNTIF(U$11:U21,U21)-1),(RANK(U21,U$11:U$343,1)+COUNTIF(U$11:U21,U21)-1)))</f>
        <v/>
      </c>
      <c r="W21" s="175"/>
      <c r="X21" s="5" t="str">
        <f>IF(L21="","",VLOOKUP($L21,classifications!$C:$J,6,FALSE))</f>
        <v>Urban with City and Town</v>
      </c>
      <c r="Y21" t="str">
        <f t="shared" si="4"/>
        <v/>
      </c>
      <c r="Z21" s="40" t="str">
        <f>IF(Y21="","",IF(I$8="A",(RANK(Y21,Y$11:Y$343,1)+COUNTIF(Y$11:Y21,Y21)-1),(RANK(Y21,Y$11:Y$343)+COUNTIF(Y$11:Y21,Y21)-1)))</f>
        <v/>
      </c>
      <c r="AA21" s="180" t="str">
        <f>IF(L21="","",VLOOKUP($L21,classifications!C:I,7,FALSE))</f>
        <v>Predominantly Urban</v>
      </c>
      <c r="AB21" s="174" t="str">
        <f t="shared" si="14"/>
        <v/>
      </c>
      <c r="AC21" s="174" t="str">
        <f>IF(AB21="","",IF($I$8="A",(RANK(AB21,AB$11:AB$343)+COUNTIF(AB$11:AB21,AB21)-1),(RANK(AB21,AB$11:AB$343,1)+COUNTIF(AB$11:AB21,AB21)-1)))</f>
        <v/>
      </c>
      <c r="AD21" s="174"/>
      <c r="AE21" s="49" t="e">
        <f>IF(I$8="A",(RANK(AG21,AG$11:AG$343,1)+COUNTIF(AG$11:AG21,AG21)-1),(RANK(AG21,AG$11:AG$343)+COUNTIF(AG$11:AG21,AG21)-1))</f>
        <v>#N/A</v>
      </c>
      <c r="AF21" t="str">
        <f>VLOOKUP(Profile!$J$5,Families!$C:$R,11,FALSE)</f>
        <v>East Riding of Yorkshire</v>
      </c>
      <c r="AG21" s="15">
        <f t="shared" si="15"/>
        <v>415.4</v>
      </c>
      <c r="AH21" s="50" t="e">
        <f t="shared" si="22"/>
        <v>#N/A</v>
      </c>
      <c r="AI21" s="5" t="str">
        <f>IF(L21="","",VLOOKUP($L21,classifications!$C:$J,8,FALSE))</f>
        <v>Unitary</v>
      </c>
      <c r="AJ21" s="43">
        <f t="shared" si="5"/>
        <v>420.4</v>
      </c>
      <c r="AK21" s="40">
        <f>IF(AJ21="","",IF(I$8="A",(RANK(AJ21,AJ$11:AJ$343,1)+COUNTIF(AJ$11:AJ21,AJ21)-1),(RANK(AJ21,AJ$11:AJ$343)+COUNTIF(AJ$11:AJ21,AJ21)-1)))</f>
        <v>11</v>
      </c>
      <c r="AL21" s="3">
        <f t="shared" si="16"/>
        <v>11</v>
      </c>
      <c r="AM21" t="str">
        <f t="shared" si="6"/>
        <v>Wokingham</v>
      </c>
      <c r="AN21">
        <f t="shared" si="7"/>
        <v>420.4</v>
      </c>
      <c r="AP21" s="5" t="str">
        <f>IF(L21="","",VLOOKUP($L21,classifications!$C:$E,3,FALSE))</f>
        <v>South East</v>
      </c>
      <c r="AQ21" s="43" t="str">
        <f t="shared" si="17"/>
        <v/>
      </c>
      <c r="AR21" s="40" t="str">
        <f>IF(AQ21="","",IF(I$8="A",(RANK(AQ21,AQ$11:AQ$343,1)+COUNTIF(AQ$11:AQ21,AQ21)-1),(RANK(AQ21,AQ$11:AQ$343)+COUNTIF(AQ$11:AQ21,AQ21)-1)))</f>
        <v/>
      </c>
      <c r="AS21" s="3" t="str">
        <f t="shared" si="18"/>
        <v/>
      </c>
      <c r="AT21" s="40" t="str">
        <f t="shared" si="8"/>
        <v/>
      </c>
      <c r="AU21" s="43" t="str">
        <f t="shared" si="9"/>
        <v/>
      </c>
      <c r="AX21">
        <f>HLOOKUP($AX$9&amp;$AX$10,Data!$A$1:$ZZ$1980,(MATCH($C21,Data!$A$1:$A$1980,0)),FALSE)</f>
        <v>480</v>
      </c>
    </row>
    <row r="22" spans="1:50">
      <c r="A22" s="59" t="str">
        <f>$D$1&amp;12</f>
        <v>UA12</v>
      </c>
      <c r="B22" s="60" t="str">
        <f>IF(ISERROR(VLOOKUP(A22,classifications!A:C,3,FALSE)),0,VLOOKUP(A22,classifications!A:C,3,FALSE))</f>
        <v>West Northamptonshire</v>
      </c>
      <c r="C22" t="s">
        <v>13</v>
      </c>
      <c r="D22" t="str">
        <f>VLOOKUP($C22,classifications!$C:$J,4,FALSE)</f>
        <v>SD</v>
      </c>
      <c r="E22">
        <f>VLOOKUP(C22,classifications!C:K,9,FALSE)</f>
        <v>0</v>
      </c>
      <c r="F22">
        <f t="shared" si="0"/>
        <v>558.70000000000005</v>
      </c>
      <c r="G22" s="15"/>
      <c r="H22" s="42" t="str">
        <f t="shared" si="1"/>
        <v/>
      </c>
      <c r="I22" s="79" t="str">
        <f>IF(H22="","",IF($I$8="A",(RANK(H22,H$11:H$343,1)+COUNTIF(H$11:H22,H22)-1),(RANK(H22,H$11:H$343)+COUNTIF(H$11:H22,H22)-1)))</f>
        <v/>
      </c>
      <c r="J22" s="41"/>
      <c r="K22" s="36">
        <f t="shared" si="10"/>
        <v>12</v>
      </c>
      <c r="L22" t="str">
        <f t="shared" si="2"/>
        <v>Kingston upon Hull</v>
      </c>
      <c r="M22" s="117">
        <f t="shared" si="3"/>
        <v>444.1</v>
      </c>
      <c r="N22" s="112">
        <f t="shared" si="23"/>
        <v>444.1</v>
      </c>
      <c r="O22" s="96">
        <f t="shared" si="11"/>
        <v>444.1</v>
      </c>
      <c r="P22" s="96" t="str">
        <f t="shared" si="19"/>
        <v/>
      </c>
      <c r="Q22" s="96" t="str">
        <f t="shared" si="20"/>
        <v/>
      </c>
      <c r="R22" s="92" t="str">
        <f t="shared" si="21"/>
        <v/>
      </c>
      <c r="S22" s="42" t="str">
        <f t="shared" si="12"/>
        <v/>
      </c>
      <c r="T22" s="167">
        <f>IF(L22="","",VLOOKUP(L22,classifications!C:K,9,FALSE))</f>
        <v>0</v>
      </c>
      <c r="U22" s="168" t="str">
        <f t="shared" si="13"/>
        <v/>
      </c>
      <c r="V22" s="174" t="str">
        <f>IF(U22="","",IF($I$8="A",(RANK(U22,U$11:U$343)+COUNTIF(U$11:U22,U22)-1),(RANK(U22,U$11:U$343,1)+COUNTIF(U$11:U22,U22)-1)))</f>
        <v/>
      </c>
      <c r="W22" s="175"/>
      <c r="X22" s="5" t="str">
        <f>IF(L22="","",VLOOKUP($L22,classifications!$C:$J,6,FALSE))</f>
        <v>Urban with City and Town</v>
      </c>
      <c r="Y22" t="str">
        <f t="shared" si="4"/>
        <v/>
      </c>
      <c r="Z22" s="40" t="str">
        <f>IF(Y22="","",IF(I$8="A",(RANK(Y22,Y$11:Y$343,1)+COUNTIF(Y$11:Y22,Y22)-1),(RANK(Y22,Y$11:Y$343)+COUNTIF(Y$11:Y22,Y22)-1)))</f>
        <v/>
      </c>
      <c r="AA22" s="180" t="str">
        <f>IF(L22="","",VLOOKUP($L22,classifications!C:I,7,FALSE))</f>
        <v>Predominantly Urban</v>
      </c>
      <c r="AB22" s="174" t="str">
        <f t="shared" si="14"/>
        <v/>
      </c>
      <c r="AC22" s="174" t="str">
        <f>IF(AB22="","",IF($I$8="A",(RANK(AB22,AB$11:AB$343)+COUNTIF(AB$11:AB22,AB22)-1),(RANK(AB22,AB$11:AB$343,1)+COUNTIF(AB$11:AB22,AB22)-1)))</f>
        <v/>
      </c>
      <c r="AD22" s="174"/>
      <c r="AE22" s="49" t="e">
        <f>IF(I$8="A",(RANK(AG22,AG$11:AG$343,1)+COUNTIF(AG$11:AG22,AG22)-1),(RANK(AG22,AG$11:AG$343)+COUNTIF(AG$11:AG22,AG22)-1))</f>
        <v>#N/A</v>
      </c>
      <c r="AF22" t="str">
        <f>VLOOKUP(Profile!$J$5,Families!$C:$R,12,FALSE)</f>
        <v>York</v>
      </c>
      <c r="AG22" s="15">
        <f t="shared" si="15"/>
        <v>499.4</v>
      </c>
      <c r="AH22" s="50" t="e">
        <f t="shared" si="22"/>
        <v>#N/A</v>
      </c>
      <c r="AI22" s="5" t="str">
        <f>IF(L22="","",VLOOKUP($L22,classifications!$C:$J,8,FALSE))</f>
        <v>Unitary</v>
      </c>
      <c r="AJ22" s="43">
        <f t="shared" si="5"/>
        <v>444.1</v>
      </c>
      <c r="AK22" s="40">
        <f>IF(AJ22="","",IF(I$8="A",(RANK(AJ22,AJ$11:AJ$343,1)+COUNTIF(AJ$11:AJ22,AJ22)-1),(RANK(AJ22,AJ$11:AJ$343)+COUNTIF(AJ$11:AJ22,AJ22)-1)))</f>
        <v>12</v>
      </c>
      <c r="AL22" s="3">
        <f t="shared" si="16"/>
        <v>12</v>
      </c>
      <c r="AM22" t="str">
        <f t="shared" si="6"/>
        <v>Kingston upon Hull</v>
      </c>
      <c r="AN22">
        <f t="shared" si="7"/>
        <v>444.1</v>
      </c>
      <c r="AP22" s="5" t="str">
        <f>IF(L22="","",VLOOKUP($L22,classifications!$C:$E,3,FALSE))</f>
        <v>Yorkshire &amp; Humberside</v>
      </c>
      <c r="AQ22" s="43" t="str">
        <f t="shared" si="17"/>
        <v/>
      </c>
      <c r="AR22" s="40" t="str">
        <f>IF(AQ22="","",IF(I$8="A",(RANK(AQ22,AQ$11:AQ$343,1)+COUNTIF(AQ$11:AQ22,AQ22)-1),(RANK(AQ22,AQ$11:AQ$343)+COUNTIF(AQ$11:AQ22,AQ22)-1)))</f>
        <v/>
      </c>
      <c r="AS22" s="3" t="str">
        <f t="shared" si="18"/>
        <v/>
      </c>
      <c r="AT22" s="40" t="str">
        <f t="shared" si="8"/>
        <v/>
      </c>
      <c r="AU22" s="43" t="str">
        <f t="shared" si="9"/>
        <v/>
      </c>
      <c r="AX22">
        <f>HLOOKUP($AX$9&amp;$AX$10,Data!$A$1:$ZZ$1980,(MATCH($C22,Data!$A$1:$A$1980,0)),FALSE)</f>
        <v>558.70000000000005</v>
      </c>
    </row>
    <row r="23" spans="1:50">
      <c r="A23" s="59" t="str">
        <f>$D$1&amp;13</f>
        <v>UA13</v>
      </c>
      <c r="B23" s="60">
        <f>IF(ISERROR(VLOOKUP(A23,classifications!A:C,3,FALSE)),0,VLOOKUP(A23,classifications!A:C,3,FALSE))</f>
        <v>0</v>
      </c>
      <c r="C23" t="s">
        <v>14</v>
      </c>
      <c r="D23" t="str">
        <f>VLOOKUP($C23,classifications!$C:$J,4,FALSE)</f>
        <v>SD</v>
      </c>
      <c r="E23">
        <f>VLOOKUP(C23,classifications!C:K,9,FALSE)</f>
        <v>0</v>
      </c>
      <c r="F23">
        <f t="shared" si="0"/>
        <v>536</v>
      </c>
      <c r="G23" s="15"/>
      <c r="H23" s="42" t="str">
        <f t="shared" si="1"/>
        <v/>
      </c>
      <c r="I23" s="79" t="str">
        <f>IF(H23="","",IF($I$8="A",(RANK(H23,H$11:H$343,1)+COUNTIF(H$11:H23,H23)-1),(RANK(H23,H$11:H$343)+COUNTIF(H$11:H23,H23)-1)))</f>
        <v/>
      </c>
      <c r="J23" s="41"/>
      <c r="K23" s="36">
        <f t="shared" si="10"/>
        <v>13</v>
      </c>
      <c r="L23" t="str">
        <f t="shared" si="2"/>
        <v>Bournemouth, Christchurch and Poole</v>
      </c>
      <c r="M23" s="117">
        <f t="shared" si="3"/>
        <v>454.1</v>
      </c>
      <c r="N23" s="112">
        <f t="shared" si="23"/>
        <v>454.1</v>
      </c>
      <c r="O23" s="96">
        <f t="shared" si="11"/>
        <v>454.1</v>
      </c>
      <c r="P23" s="96" t="str">
        <f t="shared" si="19"/>
        <v/>
      </c>
      <c r="Q23" s="96" t="str">
        <f t="shared" si="20"/>
        <v/>
      </c>
      <c r="R23" s="92" t="str">
        <f t="shared" si="21"/>
        <v/>
      </c>
      <c r="S23" s="42" t="str">
        <f t="shared" si="12"/>
        <v/>
      </c>
      <c r="T23" s="167">
        <f>IF(L23="","",VLOOKUP(L23,classifications!C:K,9,FALSE))</f>
        <v>0</v>
      </c>
      <c r="U23" s="168" t="str">
        <f t="shared" si="13"/>
        <v/>
      </c>
      <c r="V23" s="174" t="str">
        <f>IF(U23="","",IF($I$8="A",(RANK(U23,U$11:U$343)+COUNTIF(U$11:U23,U23)-1),(RANK(U23,U$11:U$343,1)+COUNTIF(U$11:U23,U23)-1)))</f>
        <v/>
      </c>
      <c r="W23" s="175"/>
      <c r="X23" s="5">
        <f>IF(L23="","",VLOOKUP($L23,classifications!$C:$J,6,FALSE))</f>
        <v>0</v>
      </c>
      <c r="Y23" t="str">
        <f t="shared" si="4"/>
        <v/>
      </c>
      <c r="Z23" s="40" t="str">
        <f>IF(Y23="","",IF(I$8="A",(RANK(Y23,Y$11:Y$343,1)+COUNTIF(Y$11:Y23,Y23)-1),(RANK(Y23,Y$11:Y$343)+COUNTIF(Y$11:Y23,Y23)-1)))</f>
        <v/>
      </c>
      <c r="AA23" s="180" t="str">
        <f>IF(L23="","",VLOOKUP($L23,classifications!C:I,7,FALSE))</f>
        <v>Predominantly Urban</v>
      </c>
      <c r="AB23" s="174" t="str">
        <f t="shared" si="14"/>
        <v/>
      </c>
      <c r="AC23" s="174" t="str">
        <f>IF(AB23="","",IF($I$8="A",(RANK(AB23,AB$11:AB$343)+COUNTIF(AB$11:AB23,AB23)-1),(RANK(AB23,AB$11:AB$343,1)+COUNTIF(AB$11:AB23,AB23)-1)))</f>
        <v/>
      </c>
      <c r="AD23" s="174"/>
      <c r="AE23" s="49" t="e">
        <f>IF(I$8="A",(RANK(AG23,AG$11:AG$343,1)+COUNTIF(AG$11:AG23,AG23)-1),(RANK(AG23,AG$11:AG$343)+COUNTIF(AG$11:AG23,AG23)-1))</f>
        <v>#N/A</v>
      </c>
      <c r="AF23" t="str">
        <f>VLOOKUP(Profile!$J$5,Families!$C:$R,13,FALSE)</f>
        <v>Poole</v>
      </c>
      <c r="AG23" s="15" t="e">
        <f t="shared" si="15"/>
        <v>#N/A</v>
      </c>
      <c r="AH23" s="50" t="e">
        <f t="shared" si="22"/>
        <v>#N/A</v>
      </c>
      <c r="AI23" s="5" t="str">
        <f>IF(L23="","",VLOOKUP($L23,classifications!$C:$J,8,FALSE))</f>
        <v>Unitary</v>
      </c>
      <c r="AJ23" s="43">
        <f t="shared" si="5"/>
        <v>454.1</v>
      </c>
      <c r="AK23" s="40">
        <f>IF(AJ23="","",IF(I$8="A",(RANK(AJ23,AJ$11:AJ$343,1)+COUNTIF(AJ$11:AJ23,AJ23)-1),(RANK(AJ23,AJ$11:AJ$343)+COUNTIF(AJ$11:AJ23,AJ23)-1)))</f>
        <v>13</v>
      </c>
      <c r="AL23" s="3">
        <f t="shared" si="16"/>
        <v>13</v>
      </c>
      <c r="AM23" t="str">
        <f t="shared" si="6"/>
        <v>Bournemouth, Christchurch and Poole</v>
      </c>
      <c r="AN23">
        <f t="shared" si="7"/>
        <v>454.1</v>
      </c>
      <c r="AP23" s="5" t="str">
        <f>IF(L23="","",VLOOKUP($L23,classifications!$C:$E,3,FALSE))</f>
        <v>South West</v>
      </c>
      <c r="AQ23" s="43" t="str">
        <f t="shared" si="17"/>
        <v/>
      </c>
      <c r="AR23" s="40" t="str">
        <f>IF(AQ23="","",IF(I$8="A",(RANK(AQ23,AQ$11:AQ$343,1)+COUNTIF(AQ$11:AQ23,AQ23)-1),(RANK(AQ23,AQ$11:AQ$343)+COUNTIF(AQ$11:AQ23,AQ23)-1)))</f>
        <v/>
      </c>
      <c r="AS23" s="3" t="str">
        <f t="shared" si="18"/>
        <v/>
      </c>
      <c r="AT23" s="40" t="str">
        <f t="shared" si="8"/>
        <v/>
      </c>
      <c r="AU23" s="43" t="str">
        <f t="shared" si="9"/>
        <v/>
      </c>
      <c r="AX23">
        <f>HLOOKUP($AX$9&amp;$AX$10,Data!$A$1:$ZZ$1980,(MATCH($C23,Data!$A$1:$A$1980,0)),FALSE)</f>
        <v>536</v>
      </c>
    </row>
    <row r="24" spans="1:50">
      <c r="A24" s="59" t="str">
        <f>$D$1&amp;14</f>
        <v>UA14</v>
      </c>
      <c r="B24" s="60">
        <f>IF(ISERROR(VLOOKUP(A24,classifications!A:C,3,FALSE)),0,VLOOKUP(A24,classifications!A:C,3,FALSE))</f>
        <v>0</v>
      </c>
      <c r="C24" t="s">
        <v>344</v>
      </c>
      <c r="D24" t="str">
        <f>VLOOKUP($C24,classifications!$C:$J,4,FALSE)</f>
        <v>SD</v>
      </c>
      <c r="E24">
        <f>VLOOKUP(C24,classifications!C:K,9,FALSE)</f>
        <v>0</v>
      </c>
      <c r="F24">
        <f t="shared" si="0"/>
        <v>537</v>
      </c>
      <c r="G24" s="15"/>
      <c r="H24" s="42" t="str">
        <f t="shared" si="1"/>
        <v/>
      </c>
      <c r="I24" s="79" t="str">
        <f>IF(H24="","",IF($I$8="A",(RANK(H24,H$11:H$343,1)+COUNTIF(H$11:H24,H24)-1),(RANK(H24,H$11:H$343)+COUNTIF(H$11:H24,H24)-1)))</f>
        <v/>
      </c>
      <c r="J24" s="41"/>
      <c r="K24" s="36">
        <f t="shared" si="10"/>
        <v>14</v>
      </c>
      <c r="L24" t="str">
        <f t="shared" si="2"/>
        <v>Cheshire East</v>
      </c>
      <c r="M24" s="117">
        <f t="shared" si="3"/>
        <v>467.1</v>
      </c>
      <c r="N24" s="112">
        <f t="shared" si="23"/>
        <v>467.1</v>
      </c>
      <c r="O24" s="96">
        <f t="shared" si="11"/>
        <v>467.1</v>
      </c>
      <c r="P24" s="96" t="str">
        <f t="shared" si="19"/>
        <v/>
      </c>
      <c r="Q24" s="96" t="str">
        <f t="shared" si="20"/>
        <v/>
      </c>
      <c r="R24" s="92" t="str">
        <f t="shared" si="21"/>
        <v/>
      </c>
      <c r="S24" s="42" t="str">
        <f t="shared" si="12"/>
        <v>u</v>
      </c>
      <c r="T24" s="167" t="str">
        <f>IF(L24="","",VLOOKUP(L24,classifications!C:K,9,FALSE))</f>
        <v>Sparse</v>
      </c>
      <c r="U24" s="168">
        <f t="shared" si="13"/>
        <v>467.1</v>
      </c>
      <c r="V24" s="174">
        <f>IF(U24="","",IF($I$8="A",(RANK(U24,U$11:U$343)+COUNTIF(U$11:U24,U24)-1),(RANK(U24,U$11:U$343,1)+COUNTIF(U$11:U24,U24)-1)))</f>
        <v>9</v>
      </c>
      <c r="W24" s="175"/>
      <c r="X24" s="5" t="str">
        <f>IF(L24="","",VLOOKUP($L24,classifications!$C:$J,6,FALSE))</f>
        <v>Urban with Significant Rural (rural including hub towns 26-49%)</v>
      </c>
      <c r="Y24">
        <f t="shared" si="4"/>
        <v>467.1</v>
      </c>
      <c r="Z24" s="40">
        <f>IF(Y24="","",IF(I$8="A",(RANK(Y24,Y$11:Y$343,1)+COUNTIF(Y$11:Y24,Y24)-1),(RANK(Y24,Y$11:Y$343)+COUNTIF(Y$11:Y24,Y24)-1)))</f>
        <v>7</v>
      </c>
      <c r="AA24" s="180" t="str">
        <f>IF(L24="","",VLOOKUP($L24,classifications!C:I,7,FALSE))</f>
        <v>Significant Rural</v>
      </c>
      <c r="AB24" s="174">
        <f t="shared" si="14"/>
        <v>467.1</v>
      </c>
      <c r="AC24" s="174">
        <f>IF(AB24="","",IF($I$8="A",(RANK(AB24,AB$11:AB$343)+COUNTIF(AB$11:AB24,AB24)-1),(RANK(AB24,AB$11:AB$343,1)+COUNTIF(AB$11:AB24,AB24)-1)))</f>
        <v>7</v>
      </c>
      <c r="AD24" s="174"/>
      <c r="AE24" s="49" t="e">
        <f>IF(I$8="A",(RANK(AG24,AG$11:AG$343,1)+COUNTIF(AG$11:AG24,AG24)-1),(RANK(AG24,AG$11:AG$343)+COUNTIF(AG$11:AG24,AG24)-1))</f>
        <v>#N/A</v>
      </c>
      <c r="AF24" t="str">
        <f>VLOOKUP(Profile!$J$5,Families!$C:$R,14,FALSE)</f>
        <v>Bedford</v>
      </c>
      <c r="AG24" s="15">
        <f t="shared" si="15"/>
        <v>580.79999999999995</v>
      </c>
      <c r="AH24" s="50" t="e">
        <f t="shared" si="22"/>
        <v>#N/A</v>
      </c>
      <c r="AI24" s="5" t="str">
        <f>IF(L24="","",VLOOKUP($L24,classifications!$C:$J,8,FALSE))</f>
        <v>Unitary</v>
      </c>
      <c r="AJ24" s="43">
        <f t="shared" si="5"/>
        <v>467.1</v>
      </c>
      <c r="AK24" s="40">
        <f>IF(AJ24="","",IF(I$8="A",(RANK(AJ24,AJ$11:AJ$343,1)+COUNTIF(AJ$11:AJ24,AJ24)-1),(RANK(AJ24,AJ$11:AJ$343)+COUNTIF(AJ$11:AJ24,AJ24)-1)))</f>
        <v>14</v>
      </c>
      <c r="AL24" s="3">
        <f t="shared" si="16"/>
        <v>14</v>
      </c>
      <c r="AM24" t="str">
        <f t="shared" si="6"/>
        <v>Cheshire East</v>
      </c>
      <c r="AN24">
        <f t="shared" si="7"/>
        <v>467.1</v>
      </c>
      <c r="AP24" s="5" t="str">
        <f>IF(L24="","",VLOOKUP($L24,classifications!$C:$E,3,FALSE))</f>
        <v>North West</v>
      </c>
      <c r="AQ24" s="43">
        <f t="shared" si="17"/>
        <v>467.1</v>
      </c>
      <c r="AR24" s="40">
        <f>IF(AQ24="","",IF(I$8="A",(RANK(AQ24,AQ$11:AQ$343,1)+COUNTIF(AQ$11:AQ24,AQ24)-1),(RANK(AQ24,AQ$11:AQ$343)+COUNTIF(AQ$11:AQ24,AQ24)-1)))</f>
        <v>2</v>
      </c>
      <c r="AS24" s="3" t="str">
        <f t="shared" si="18"/>
        <v/>
      </c>
      <c r="AT24" s="40" t="str">
        <f t="shared" si="8"/>
        <v/>
      </c>
      <c r="AU24" s="43" t="str">
        <f t="shared" si="9"/>
        <v/>
      </c>
      <c r="AX24">
        <f>HLOOKUP($AX$9&amp;$AX$10,Data!$A$1:$ZZ$1980,(MATCH($C24,Data!$A$1:$A$1980,0)),FALSE)</f>
        <v>537</v>
      </c>
    </row>
    <row r="25" spans="1:50">
      <c r="A25" s="59" t="str">
        <f>$D$1&amp;15</f>
        <v>UA15</v>
      </c>
      <c r="B25" s="60">
        <f>IF(ISERROR(VLOOKUP(A25,classifications!A:C,3,FALSE)),0,VLOOKUP(A25,classifications!A:C,3,FALSE))</f>
        <v>0</v>
      </c>
      <c r="C25" t="s">
        <v>15</v>
      </c>
      <c r="D25" t="str">
        <f>VLOOKUP($C25,classifications!$C:$J,4,FALSE)</f>
        <v>SD</v>
      </c>
      <c r="E25">
        <f>VLOOKUP(C25,classifications!C:K,9,FALSE)</f>
        <v>0</v>
      </c>
      <c r="F25">
        <f t="shared" si="0"/>
        <v>586</v>
      </c>
      <c r="G25" s="15"/>
      <c r="H25" s="42" t="str">
        <f t="shared" si="1"/>
        <v/>
      </c>
      <c r="I25" s="79" t="str">
        <f>IF(H25="","",IF($I$8="A",(RANK(H25,H$11:H$343,1)+COUNTIF(H$11:H25,H25)-1),(RANK(H25,H$11:H$343)+COUNTIF(H$11:H25,H25)-1)))</f>
        <v/>
      </c>
      <c r="J25" s="41"/>
      <c r="K25" s="36">
        <f t="shared" si="10"/>
        <v>15</v>
      </c>
      <c r="L25" t="str">
        <f t="shared" si="2"/>
        <v>Blackpool</v>
      </c>
      <c r="M25" s="117">
        <f t="shared" si="3"/>
        <v>469.9</v>
      </c>
      <c r="N25" s="112">
        <f t="shared" si="23"/>
        <v>469.9</v>
      </c>
      <c r="O25" s="96">
        <f t="shared" si="11"/>
        <v>469.9</v>
      </c>
      <c r="P25" s="96" t="str">
        <f t="shared" si="19"/>
        <v/>
      </c>
      <c r="Q25" s="96" t="str">
        <f t="shared" si="20"/>
        <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Urban with City and Town</v>
      </c>
      <c r="Y25" t="str">
        <f t="shared" si="4"/>
        <v/>
      </c>
      <c r="Z25" s="40" t="str">
        <f>IF(Y25="","",IF(I$8="A",(RANK(Y25,Y$11:Y$343,1)+COUNTIF(Y$11:Y25,Y25)-1),(RANK(Y25,Y$11:Y$343)+COUNTIF(Y$11:Y25,Y25)-1)))</f>
        <v/>
      </c>
      <c r="AA25" s="180" t="str">
        <f>IF(L25="","",VLOOKUP($L25,classifications!C:I,7,FALSE))</f>
        <v>Predominantly Urban</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South Gloucestershire</v>
      </c>
      <c r="AG25" s="15">
        <f t="shared" si="15"/>
        <v>377.7</v>
      </c>
      <c r="AH25" s="50" t="e">
        <f t="shared" si="22"/>
        <v>#N/A</v>
      </c>
      <c r="AI25" s="5" t="str">
        <f>IF(L25="","",VLOOKUP($L25,classifications!$C:$J,8,FALSE))</f>
        <v>Unitary</v>
      </c>
      <c r="AJ25" s="43">
        <f t="shared" si="5"/>
        <v>469.9</v>
      </c>
      <c r="AK25" s="40">
        <f>IF(AJ25="","",IF(I$8="A",(RANK(AJ25,AJ$11:AJ$343,1)+COUNTIF(AJ$11:AJ25,AJ25)-1),(RANK(AJ25,AJ$11:AJ$343)+COUNTIF(AJ$11:AJ25,AJ25)-1)))</f>
        <v>15</v>
      </c>
      <c r="AL25" s="3">
        <f t="shared" si="16"/>
        <v>15</v>
      </c>
      <c r="AM25" t="str">
        <f t="shared" si="6"/>
        <v>Blackpool</v>
      </c>
      <c r="AN25">
        <f t="shared" si="7"/>
        <v>469.9</v>
      </c>
      <c r="AP25" s="5" t="str">
        <f>IF(L25="","",VLOOKUP($L25,classifications!$C:$E,3,FALSE))</f>
        <v>North West</v>
      </c>
      <c r="AQ25" s="43">
        <f t="shared" si="17"/>
        <v>469.9</v>
      </c>
      <c r="AR25" s="40">
        <f>IF(AQ25="","",IF(I$8="A",(RANK(AQ25,AQ$11:AQ$343,1)+COUNTIF(AQ$11:AQ25,AQ25)-1),(RANK(AQ25,AQ$11:AQ$343)+COUNTIF(AQ$11:AQ25,AQ25)-1)))</f>
        <v>3</v>
      </c>
      <c r="AS25" s="3" t="str">
        <f t="shared" si="18"/>
        <v/>
      </c>
      <c r="AT25" s="40" t="str">
        <f t="shared" si="8"/>
        <v/>
      </c>
      <c r="AU25" s="43" t="str">
        <f t="shared" si="9"/>
        <v/>
      </c>
      <c r="AX25">
        <f>HLOOKUP($AX$9&amp;$AX$10,Data!$A$1:$ZZ$1980,(MATCH($C25,Data!$A$1:$A$1980,0)),FALSE)</f>
        <v>586</v>
      </c>
    </row>
    <row r="26" spans="1:50">
      <c r="A26" s="59" t="str">
        <f>$D$1&amp;16</f>
        <v>UA16</v>
      </c>
      <c r="B26" s="60">
        <f>IF(ISERROR(VLOOKUP(A26,classifications!A:C,3,FALSE)),0,VLOOKUP(A26,classifications!A:C,3,FALSE))</f>
        <v>0</v>
      </c>
      <c r="C26" t="s">
        <v>259</v>
      </c>
      <c r="D26" t="str">
        <f>VLOOKUP($C26,classifications!$C:$J,4,FALSE)</f>
        <v>UA</v>
      </c>
      <c r="E26">
        <f>VLOOKUP(C26,classifications!C:K,9,FALSE)</f>
        <v>0</v>
      </c>
      <c r="F26">
        <f t="shared" si="0"/>
        <v>354</v>
      </c>
      <c r="G26" s="15"/>
      <c r="H26" s="42">
        <f t="shared" si="1"/>
        <v>354</v>
      </c>
      <c r="I26" s="79">
        <f>IF(H26="","",IF($I$8="A",(RANK(H26,H$11:H$343,1)+COUNTIF(H$11:H26,H26)-1),(RANK(H26,H$11:H$343)+COUNTIF(H$11:H26,H26)-1)))</f>
        <v>2</v>
      </c>
      <c r="J26" s="41"/>
      <c r="K26" s="36">
        <f t="shared" si="10"/>
        <v>16</v>
      </c>
      <c r="L26" t="str">
        <f t="shared" si="2"/>
        <v>Windsor &amp; Maidenhead</v>
      </c>
      <c r="M26" s="117">
        <f t="shared" si="3"/>
        <v>470.6</v>
      </c>
      <c r="N26" s="112">
        <f t="shared" si="23"/>
        <v>470.6</v>
      </c>
      <c r="O26" s="96" t="str">
        <f t="shared" si="11"/>
        <v/>
      </c>
      <c r="P26" s="96">
        <f t="shared" si="19"/>
        <v>470.6</v>
      </c>
      <c r="Q26" s="96" t="str">
        <f t="shared" si="20"/>
        <v/>
      </c>
      <c r="R26" s="92" t="str">
        <f t="shared" si="21"/>
        <v/>
      </c>
      <c r="S26" s="42" t="str">
        <f t="shared" si="12"/>
        <v/>
      </c>
      <c r="T26" s="167">
        <f>IF(L26="","",VLOOKUP(L26,classifications!C:K,9,FALSE))</f>
        <v>0</v>
      </c>
      <c r="U26" s="168" t="str">
        <f t="shared" si="13"/>
        <v/>
      </c>
      <c r="V26" s="174" t="str">
        <f>IF(U26="","",IF($I$8="A",(RANK(U26,U$11:U$343)+COUNTIF(U$11:U26,U26)-1),(RANK(U26,U$11:U$343,1)+COUNTIF(U$11:U26,U26)-1)))</f>
        <v/>
      </c>
      <c r="W26" s="175"/>
      <c r="X26" s="5" t="str">
        <f>IF(L26="","",VLOOKUP($L26,classifications!$C:$J,6,FALSE))</f>
        <v>Urban with City and Town</v>
      </c>
      <c r="Y26" t="str">
        <f t="shared" si="4"/>
        <v/>
      </c>
      <c r="Z26" s="40" t="str">
        <f>IF(Y26="","",IF(I$8="A",(RANK(Y26,Y$11:Y$343,1)+COUNTIF(Y$11:Y26,Y26)-1),(RANK(Y26,Y$11:Y$343)+COUNTIF(Y$11:Y26,Y26)-1)))</f>
        <v/>
      </c>
      <c r="AA26" s="180" t="str">
        <f>IF(L26="","",VLOOKUP($L26,classifications!C:I,7,FALSE))</f>
        <v>Predominantly Urban</v>
      </c>
      <c r="AB26" s="174" t="str">
        <f t="shared" si="14"/>
        <v/>
      </c>
      <c r="AC26" s="174" t="str">
        <f>IF(AB26="","",IF($I$8="A",(RANK(AB26,AB$11:AB$343)+COUNTIF(AB$11:AB26,AB26)-1),(RANK(AB26,AB$11:AB$343,1)+COUNTIF(AB$11:AB26,AB26)-1)))</f>
        <v/>
      </c>
      <c r="AD26" s="174"/>
      <c r="AE26" s="49" t="e">
        <f>IF(I$8="A",(RANK(AG26,AG$11:AG$343,1)+COUNTIF(AG$11:AG26,AG26)-1),(RANK(AG26,AG$11:AG$343)+COUNTIF(AG$11:AG26,AG26)-1))</f>
        <v>#N/A</v>
      </c>
      <c r="AF26" t="str">
        <f>VLOOKUP(Profile!$J$5,Families!$C:$R,16,FALSE)</f>
        <v>Warrington</v>
      </c>
      <c r="AG26" s="15">
        <f t="shared" si="15"/>
        <v>517.6</v>
      </c>
      <c r="AH26" s="50" t="e">
        <f t="shared" si="22"/>
        <v>#N/A</v>
      </c>
      <c r="AI26" s="5" t="str">
        <f>IF(L26="","",VLOOKUP($L26,classifications!$C:$J,8,FALSE))</f>
        <v>Unitary</v>
      </c>
      <c r="AJ26" s="43">
        <f t="shared" si="5"/>
        <v>470.6</v>
      </c>
      <c r="AK26" s="40">
        <f>IF(AJ26="","",IF(I$8="A",(RANK(AJ26,AJ$11:AJ$343,1)+COUNTIF(AJ$11:AJ26,AJ26)-1),(RANK(AJ26,AJ$11:AJ$343)+COUNTIF(AJ$11:AJ26,AJ26)-1)))</f>
        <v>16</v>
      </c>
      <c r="AL26" s="3">
        <f t="shared" si="16"/>
        <v>16</v>
      </c>
      <c r="AM26" t="str">
        <f t="shared" si="6"/>
        <v>Windsor &amp; Maidenhead</v>
      </c>
      <c r="AN26">
        <f t="shared" si="7"/>
        <v>470.6</v>
      </c>
      <c r="AP26" s="5" t="str">
        <f>IF(L26="","",VLOOKUP($L26,classifications!$C:$E,3,FALSE))</f>
        <v>South East</v>
      </c>
      <c r="AQ26" s="43" t="str">
        <f t="shared" si="17"/>
        <v/>
      </c>
      <c r="AR26" s="40" t="str">
        <f>IF(AQ26="","",IF(I$8="A",(RANK(AQ26,AQ$11:AQ$343,1)+COUNTIF(AQ$11:AQ26,AQ26)-1),(RANK(AQ26,AQ$11:AQ$343)+COUNTIF(AQ$11:AQ26,AQ26)-1)))</f>
        <v/>
      </c>
      <c r="AS26" s="3" t="str">
        <f t="shared" si="18"/>
        <v/>
      </c>
      <c r="AT26" s="40" t="str">
        <f t="shared" si="8"/>
        <v/>
      </c>
      <c r="AU26" s="43" t="str">
        <f t="shared" si="9"/>
        <v/>
      </c>
      <c r="AX26">
        <f>HLOOKUP($AX$9&amp;$AX$10,Data!$A$1:$ZZ$1980,(MATCH($C26,Data!$A$1:$A$1980,0)),FALSE)</f>
        <v>354</v>
      </c>
    </row>
    <row r="27" spans="1:50">
      <c r="A27" s="59" t="str">
        <f>$D$1&amp;17</f>
        <v>UA17</v>
      </c>
      <c r="B27" s="60">
        <f>IF(ISERROR(VLOOKUP(A27,classifications!A:C,3,FALSE)),0,VLOOKUP(A27,classifications!A:C,3,FALSE))</f>
        <v>0</v>
      </c>
      <c r="C27" t="s">
        <v>260</v>
      </c>
      <c r="D27" t="str">
        <f>VLOOKUP($C27,classifications!$C:$J,4,FALSE)</f>
        <v>UA</v>
      </c>
      <c r="E27">
        <f>VLOOKUP(C27,classifications!C:K,9,FALSE)</f>
        <v>0</v>
      </c>
      <c r="F27">
        <f t="shared" si="0"/>
        <v>580.79999999999995</v>
      </c>
      <c r="G27" s="15"/>
      <c r="H27" s="42">
        <f t="shared" si="1"/>
        <v>580.79999999999995</v>
      </c>
      <c r="I27" s="79">
        <f>IF(H27="","",IF($I$8="A",(RANK(H27,H$11:H$343,1)+COUNTIF(H$11:H27,H27)-1),(RANK(H27,H$11:H$343)+COUNTIF(H$11:H27,H27)-1)))</f>
        <v>48</v>
      </c>
      <c r="J27" s="41"/>
      <c r="K27" s="36">
        <f t="shared" si="10"/>
        <v>17</v>
      </c>
      <c r="L27" t="str">
        <f t="shared" si="2"/>
        <v>Buckinghamshire</v>
      </c>
      <c r="M27" s="117">
        <f t="shared" si="3"/>
        <v>477.3</v>
      </c>
      <c r="N27" s="112">
        <f t="shared" si="23"/>
        <v>477.3</v>
      </c>
      <c r="O27" s="96" t="str">
        <f t="shared" si="11"/>
        <v/>
      </c>
      <c r="P27" s="96">
        <f t="shared" si="19"/>
        <v>477.3</v>
      </c>
      <c r="Q27" s="96" t="str">
        <f t="shared" si="20"/>
        <v/>
      </c>
      <c r="R27" s="92" t="str">
        <f t="shared" si="21"/>
        <v/>
      </c>
      <c r="S27" s="42" t="str">
        <f t="shared" si="12"/>
        <v/>
      </c>
      <c r="T27" s="167">
        <f>IF(L27="","",VLOOKUP(L27,classifications!C:K,9,FALSE))</f>
        <v>0</v>
      </c>
      <c r="U27" s="168" t="str">
        <f t="shared" si="13"/>
        <v/>
      </c>
      <c r="V27" s="174" t="str">
        <f>IF(U27="","",IF($I$8="A",(RANK(U27,U$11:U$343)+COUNTIF(U$11:U27,U27)-1),(RANK(U27,U$11:U$343,1)+COUNTIF(U$11:U27,U27)-1)))</f>
        <v/>
      </c>
      <c r="W27" s="175"/>
      <c r="X27" s="5" t="str">
        <f>IF(L27="","",VLOOKUP($L27,classifications!$C:$J,6,FALSE))</f>
        <v>Significant Rural</v>
      </c>
      <c r="Y27" t="str">
        <f t="shared" si="4"/>
        <v/>
      </c>
      <c r="Z27" s="40" t="str">
        <f>IF(Y27="","",IF(I$8="A",(RANK(Y27,Y$11:Y$343,1)+COUNTIF(Y$11:Y27,Y27)-1),(RANK(Y27,Y$11:Y$343)+COUNTIF(Y$11:Y27,Y27)-1)))</f>
        <v/>
      </c>
      <c r="AA27" s="180" t="str">
        <f>IF(L27="","",VLOOKUP($L27,classifications!C:I,7,FALSE))</f>
        <v>Significant Rural</v>
      </c>
      <c r="AB27" s="174">
        <f t="shared" si="14"/>
        <v>477.3</v>
      </c>
      <c r="AC27" s="174">
        <f>IF(AB27="","",IF($I$8="A",(RANK(AB27,AB$11:AB$343)+COUNTIF(AB$11:AB27,AB27)-1),(RANK(AB27,AB$11:AB$343,1)+COUNTIF(AB$11:AB27,AB27)-1)))</f>
        <v>6</v>
      </c>
      <c r="AD27" s="174"/>
      <c r="AE27" s="36"/>
      <c r="AG27" s="15"/>
      <c r="AH27" s="3"/>
      <c r="AI27" s="5" t="str">
        <f>IF(L27="","",VLOOKUP($L27,classifications!$C:$J,8,FALSE))</f>
        <v>Buckinghamshire</v>
      </c>
      <c r="AJ27" s="43" t="str">
        <f t="shared" si="5"/>
        <v/>
      </c>
      <c r="AK27" s="40" t="str">
        <f>IF(AJ27="","",IF(I$8="A",(RANK(AJ27,AJ$11:AJ$343,1)+COUNTIF(AJ$11:AJ27,AJ27)-1),(RANK(AJ27,AJ$11:AJ$343)+COUNTIF(AJ$11:AJ27,AJ27)-1)))</f>
        <v/>
      </c>
      <c r="AL27" s="3">
        <f t="shared" si="16"/>
        <v>17</v>
      </c>
      <c r="AM27" t="str">
        <f t="shared" si="6"/>
        <v>Herefordshire</v>
      </c>
      <c r="AN27">
        <f t="shared" si="7"/>
        <v>481.2</v>
      </c>
      <c r="AP27" s="5" t="str">
        <f>IF(L27="","",VLOOKUP($L27,classifications!$C:$E,3,FALSE))</f>
        <v>South East</v>
      </c>
      <c r="AQ27" s="43" t="str">
        <f t="shared" si="17"/>
        <v/>
      </c>
      <c r="AR27" s="40" t="str">
        <f>IF(AQ27="","",IF(I$8="A",(RANK(AQ27,AQ$11:AQ$343,1)+COUNTIF(AQ$11:AQ27,AQ27)-1),(RANK(AQ27,AQ$11:AQ$343)+COUNTIF(AQ$11:AQ27,AQ27)-1)))</f>
        <v/>
      </c>
      <c r="AS27" s="3" t="str">
        <f t="shared" si="18"/>
        <v/>
      </c>
      <c r="AT27" s="40" t="str">
        <f t="shared" si="8"/>
        <v/>
      </c>
      <c r="AU27" s="43" t="str">
        <f t="shared" si="9"/>
        <v/>
      </c>
      <c r="AX27">
        <f>HLOOKUP($AX$9&amp;$AX$10,Data!$A$1:$ZZ$1980,(MATCH($C27,Data!$A$1:$A$1980,0)),FALSE)</f>
        <v>580.79999999999995</v>
      </c>
    </row>
    <row r="28" spans="1:50">
      <c r="A28" s="59" t="str">
        <f>$D$1&amp;18</f>
        <v>UA18</v>
      </c>
      <c r="B28" s="60">
        <f>IF(ISERROR(VLOOKUP(A28,classifications!A:C,3,FALSE)),0,VLOOKUP(A28,classifications!A:C,3,FALSE))</f>
        <v>0</v>
      </c>
      <c r="C28" t="s">
        <v>198</v>
      </c>
      <c r="D28" t="str">
        <f>VLOOKUP($C28,classifications!$C:$J,4,FALSE)</f>
        <v>L</v>
      </c>
      <c r="E28">
        <f>VLOOKUP(C28,classifications!C:K,9,FALSE)</f>
        <v>0</v>
      </c>
      <c r="F28">
        <f t="shared" si="0"/>
        <v>463.9</v>
      </c>
      <c r="G28" s="15"/>
      <c r="H28" s="42" t="str">
        <f t="shared" si="1"/>
        <v/>
      </c>
      <c r="I28" s="79" t="str">
        <f>IF(H28="","",IF($I$8="A",(RANK(H28,H$11:H$343,1)+COUNTIF(H$11:H28,H28)-1),(RANK(H28,H$11:H$343)+COUNTIF(H$11:H28,H28)-1)))</f>
        <v/>
      </c>
      <c r="J28" s="41"/>
      <c r="K28" s="36">
        <f t="shared" si="10"/>
        <v>18</v>
      </c>
      <c r="L28" t="str">
        <f t="shared" si="2"/>
        <v>Herefordshire</v>
      </c>
      <c r="M28" s="117">
        <f t="shared" si="3"/>
        <v>481.2</v>
      </c>
      <c r="N28" s="112">
        <f t="shared" si="23"/>
        <v>481.2</v>
      </c>
      <c r="O28" s="96" t="str">
        <f t="shared" si="11"/>
        <v/>
      </c>
      <c r="P28" s="96">
        <f t="shared" si="19"/>
        <v>481.2</v>
      </c>
      <c r="Q28" s="96" t="str">
        <f t="shared" si="20"/>
        <v/>
      </c>
      <c r="R28" s="92" t="str">
        <f t="shared" si="21"/>
        <v/>
      </c>
      <c r="S28" s="42" t="str">
        <f t="shared" si="12"/>
        <v/>
      </c>
      <c r="T28" s="167" t="str">
        <f>IF(L28="","",VLOOKUP(L28,classifications!C:K,9,FALSE))</f>
        <v>Sparse</v>
      </c>
      <c r="U28" s="168">
        <f t="shared" si="13"/>
        <v>481.2</v>
      </c>
      <c r="V28" s="174">
        <f>IF(U28="","",IF($I$8="A",(RANK(U28,U$11:U$343)+COUNTIF(U$11:U28,U28)-1),(RANK(U28,U$11:U$343,1)+COUNTIF(U$11:U28,U28)-1)))</f>
        <v>8</v>
      </c>
      <c r="W28" s="175"/>
      <c r="X28" s="5" t="str">
        <f>IF(L28="","",VLOOKUP($L28,classifications!$C:$J,6,FALSE))</f>
        <v xml:space="preserve">Largely Rural (rural including hub towns 50-79%) </v>
      </c>
      <c r="Y28">
        <f t="shared" si="4"/>
        <v>481.2</v>
      </c>
      <c r="Z28" s="40">
        <f>IF(Y28="","",IF(I$8="A",(RANK(Y28,Y$11:Y$343,1)+COUNTIF(Y$11:Y28,Y28)-1),(RANK(Y28,Y$11:Y$343)+COUNTIF(Y$11:Y28,Y28)-1)))</f>
        <v>8</v>
      </c>
      <c r="AA28" s="180" t="str">
        <f>IF(L28="","",VLOOKUP($L28,classifications!C:I,7,FALSE))</f>
        <v>Predominantly Rural</v>
      </c>
      <c r="AB28" s="174" t="str">
        <f t="shared" si="14"/>
        <v/>
      </c>
      <c r="AC28" s="174" t="str">
        <f>IF(AB28="","",IF($I$8="A",(RANK(AB28,AB$11:AB$343)+COUNTIF(AB$11:AB28,AB28)-1),(RANK(AB28,AB$11:AB$343,1)+COUNTIF(AB$11:AB28,AB28)-1)))</f>
        <v/>
      </c>
      <c r="AD28" s="174"/>
      <c r="AE28" s="36"/>
      <c r="AG28" s="15"/>
      <c r="AH28" s="3"/>
      <c r="AI28" s="5" t="str">
        <f>IF(L28="","",VLOOKUP($L28,classifications!$C:$J,8,FALSE))</f>
        <v>Unitary</v>
      </c>
      <c r="AJ28" s="43">
        <f t="shared" si="5"/>
        <v>481.2</v>
      </c>
      <c r="AK28" s="40">
        <f>IF(AJ28="","",IF(I$8="A",(RANK(AJ28,AJ$11:AJ$343,1)+COUNTIF(AJ$11:AJ28,AJ28)-1),(RANK(AJ28,AJ$11:AJ$343)+COUNTIF(AJ$11:AJ28,AJ28)-1)))</f>
        <v>17</v>
      </c>
      <c r="AL28" s="3">
        <f t="shared" si="16"/>
        <v>18</v>
      </c>
      <c r="AM28" t="str">
        <f t="shared" si="6"/>
        <v>West Berkshire</v>
      </c>
      <c r="AN28">
        <f t="shared" si="7"/>
        <v>489.4</v>
      </c>
      <c r="AP28" s="5" t="str">
        <f>IF(L28="","",VLOOKUP($L28,classifications!$C:$E,3,FALSE))</f>
        <v>West Midlands</v>
      </c>
      <c r="AQ28" s="43" t="str">
        <f t="shared" si="17"/>
        <v/>
      </c>
      <c r="AR28" s="40" t="str">
        <f>IF(AQ28="","",IF(I$8="A",(RANK(AQ28,AQ$11:AQ$343,1)+COUNTIF(AQ$11:AQ28,AQ28)-1),(RANK(AQ28,AQ$11:AQ$343)+COUNTIF(AQ$11:AQ28,AQ28)-1)))</f>
        <v/>
      </c>
      <c r="AS28" s="3" t="str">
        <f t="shared" si="18"/>
        <v/>
      </c>
      <c r="AT28" s="40" t="str">
        <f t="shared" si="8"/>
        <v/>
      </c>
      <c r="AU28" s="43" t="str">
        <f t="shared" si="9"/>
        <v/>
      </c>
      <c r="AX28">
        <f>HLOOKUP($AX$9&amp;$AX$10,Data!$A$1:$ZZ$1980,(MATCH($C28,Data!$A$1:$A$1980,0)),FALSE)</f>
        <v>463.9</v>
      </c>
    </row>
    <row r="29" spans="1:50">
      <c r="A29" s="59" t="str">
        <f>$D$1&amp;19</f>
        <v>UA19</v>
      </c>
      <c r="B29" s="60">
        <f>IF(ISERROR(VLOOKUP(A29,classifications!A:C,3,FALSE)),0,VLOOKUP(A29,classifications!A:C,3,FALSE))</f>
        <v>0</v>
      </c>
      <c r="C29" t="s">
        <v>224</v>
      </c>
      <c r="D29" t="str">
        <f>VLOOKUP($C29,classifications!$C:$J,4,FALSE)</f>
        <v>MD</v>
      </c>
      <c r="E29">
        <f>VLOOKUP(C29,classifications!C:K,9,FALSE)</f>
        <v>0</v>
      </c>
      <c r="F29">
        <f t="shared" si="0"/>
        <v>656.1</v>
      </c>
      <c r="G29" s="15"/>
      <c r="H29" s="42" t="str">
        <f t="shared" si="1"/>
        <v/>
      </c>
      <c r="I29" s="79" t="str">
        <f>IF(H29="","",IF($I$8="A",(RANK(H29,H$11:H$343,1)+COUNTIF(H$11:H29,H29)-1),(RANK(H29,H$11:H$343)+COUNTIF(H$11:H29,H29)-1)))</f>
        <v/>
      </c>
      <c r="J29" s="41"/>
      <c r="K29" s="36">
        <f t="shared" si="10"/>
        <v>19</v>
      </c>
      <c r="L29" t="str">
        <f t="shared" si="2"/>
        <v>West Berkshire</v>
      </c>
      <c r="M29" s="117">
        <f t="shared" si="3"/>
        <v>489.4</v>
      </c>
      <c r="N29" s="112">
        <f t="shared" si="23"/>
        <v>489.4</v>
      </c>
      <c r="O29" s="96" t="str">
        <f t="shared" si="11"/>
        <v/>
      </c>
      <c r="P29" s="96">
        <f t="shared" si="19"/>
        <v>489.4</v>
      </c>
      <c r="Q29" s="96" t="str">
        <f t="shared" si="20"/>
        <v/>
      </c>
      <c r="R29" s="92" t="str">
        <f t="shared" si="21"/>
        <v/>
      </c>
      <c r="S29" s="42" t="str">
        <f t="shared" si="12"/>
        <v/>
      </c>
      <c r="T29" s="167">
        <f>IF(L29="","",VLOOKUP(L29,classifications!C:K,9,FALSE))</f>
        <v>0</v>
      </c>
      <c r="U29" s="168" t="str">
        <f t="shared" si="13"/>
        <v/>
      </c>
      <c r="V29" s="174" t="str">
        <f>IF(U29="","",IF($I$8="A",(RANK(U29,U$11:U$343)+COUNTIF(U$11:U29,U29)-1),(RANK(U29,U$11:U$343,1)+COUNTIF(U$11:U29,U29)-1)))</f>
        <v/>
      </c>
      <c r="W29" s="175"/>
      <c r="X29" s="5" t="str">
        <f>IF(L29="","",VLOOKUP($L29,classifications!$C:$J,6,FALSE))</f>
        <v>Urban with Significant Rural (rural including hub towns 26-49%)</v>
      </c>
      <c r="Y29">
        <f t="shared" si="4"/>
        <v>489.4</v>
      </c>
      <c r="Z29" s="40">
        <f>IF(Y29="","",IF(I$8="A",(RANK(Y29,Y$11:Y$343,1)+COUNTIF(Y$11:Y29,Y29)-1),(RANK(Y29,Y$11:Y$343)+COUNTIF(Y$11:Y29,Y29)-1)))</f>
        <v>9</v>
      </c>
      <c r="AA29" s="180" t="str">
        <f>IF(L29="","",VLOOKUP($L29,classifications!C:I,7,FALSE))</f>
        <v>Significant Rural</v>
      </c>
      <c r="AB29" s="174">
        <f t="shared" si="14"/>
        <v>489.4</v>
      </c>
      <c r="AC29" s="174">
        <f>IF(AB29="","",IF($I$8="A",(RANK(AB29,AB$11:AB$343)+COUNTIF(AB$11:AB29,AB29)-1),(RANK(AB29,AB$11:AB$343,1)+COUNTIF(AB$11:AB29,AB29)-1)))</f>
        <v>5</v>
      </c>
      <c r="AD29" s="174"/>
      <c r="AE29" s="36"/>
      <c r="AG29" s="15"/>
      <c r="AH29" s="3"/>
      <c r="AI29" s="5" t="str">
        <f>IF(L29="","",VLOOKUP($L29,classifications!$C:$J,8,FALSE))</f>
        <v>Unitary</v>
      </c>
      <c r="AJ29" s="43">
        <f t="shared" si="5"/>
        <v>489.4</v>
      </c>
      <c r="AK29" s="40">
        <f>IF(AJ29="","",IF(I$8="A",(RANK(AJ29,AJ$11:AJ$343,1)+COUNTIF(AJ$11:AJ29,AJ29)-1),(RANK(AJ29,AJ$11:AJ$343)+COUNTIF(AJ$11:AJ29,AJ29)-1)))</f>
        <v>18</v>
      </c>
      <c r="AL29" s="3">
        <f t="shared" si="16"/>
        <v>19</v>
      </c>
      <c r="AM29" t="str">
        <f t="shared" si="6"/>
        <v>Milton Keynes</v>
      </c>
      <c r="AN29">
        <f t="shared" si="7"/>
        <v>492.9</v>
      </c>
      <c r="AP29" s="5" t="str">
        <f>IF(L29="","",VLOOKUP($L29,classifications!$C:$E,3,FALSE))</f>
        <v>South East</v>
      </c>
      <c r="AQ29" s="43" t="str">
        <f t="shared" si="17"/>
        <v/>
      </c>
      <c r="AR29" s="40" t="str">
        <f>IF(AQ29="","",IF(I$8="A",(RANK(AQ29,AQ$11:AQ$343,1)+COUNTIF(AQ$11:AQ29,AQ29)-1),(RANK(AQ29,AQ$11:AQ$343)+COUNTIF(AQ$11:AQ29,AQ29)-1)))</f>
        <v/>
      </c>
      <c r="AS29" s="3" t="str">
        <f t="shared" si="18"/>
        <v/>
      </c>
      <c r="AT29" s="40" t="str">
        <f t="shared" si="8"/>
        <v/>
      </c>
      <c r="AU29" s="43" t="str">
        <f t="shared" si="9"/>
        <v/>
      </c>
      <c r="AX29">
        <f>HLOOKUP($AX$9&amp;$AX$10,Data!$A$1:$ZZ$1980,(MATCH($C29,Data!$A$1:$A$1980,0)),FALSE)</f>
        <v>656.1</v>
      </c>
    </row>
    <row r="30" spans="1:50">
      <c r="A30" s="59" t="str">
        <f>$D$1&amp;20</f>
        <v>UA20</v>
      </c>
      <c r="B30" s="60">
        <f>IF(ISERROR(VLOOKUP(A30,classifications!A:C,3,FALSE)),0,VLOOKUP(A30,classifications!A:C,3,FALSE))</f>
        <v>0</v>
      </c>
      <c r="C30" t="s">
        <v>16</v>
      </c>
      <c r="D30" t="str">
        <f>VLOOKUP($C30,classifications!$C:$J,4,FALSE)</f>
        <v>SD</v>
      </c>
      <c r="E30">
        <f>VLOOKUP(C30,classifications!C:K,9,FALSE)</f>
        <v>0</v>
      </c>
      <c r="F30">
        <f t="shared" si="0"/>
        <v>462.4</v>
      </c>
      <c r="G30" s="15"/>
      <c r="H30" s="42" t="str">
        <f t="shared" si="1"/>
        <v/>
      </c>
      <c r="I30" s="79" t="str">
        <f>IF(H30="","",IF($I$8="A",(RANK(H30,H$11:H$343,1)+COUNTIF(H$11:H30,H30)-1),(RANK(H30,H$11:H$343)+COUNTIF(H$11:H30,H30)-1)))</f>
        <v/>
      </c>
      <c r="J30" s="41"/>
      <c r="K30" s="36">
        <f t="shared" si="10"/>
        <v>20</v>
      </c>
      <c r="L30" t="str">
        <f t="shared" si="2"/>
        <v>Milton Keynes</v>
      </c>
      <c r="M30" s="117">
        <f t="shared" si="3"/>
        <v>492.9</v>
      </c>
      <c r="N30" s="112">
        <f t="shared" si="23"/>
        <v>492.9</v>
      </c>
      <c r="O30" s="96" t="str">
        <f t="shared" si="11"/>
        <v/>
      </c>
      <c r="P30" s="96">
        <f t="shared" si="19"/>
        <v>492.9</v>
      </c>
      <c r="Q30" s="96" t="str">
        <f t="shared" si="20"/>
        <v/>
      </c>
      <c r="R30" s="92" t="str">
        <f t="shared" si="21"/>
        <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Urban with City and Town</v>
      </c>
      <c r="Y30" t="str">
        <f t="shared" si="4"/>
        <v/>
      </c>
      <c r="Z30" s="40" t="str">
        <f>IF(Y30="","",IF(I$8="A",(RANK(Y30,Y$11:Y$343,1)+COUNTIF(Y$11:Y30,Y30)-1),(RANK(Y30,Y$11:Y$343)+COUNTIF(Y$11:Y30,Y30)-1)))</f>
        <v/>
      </c>
      <c r="AA30" s="180" t="str">
        <f>IF(L30="","",VLOOKUP($L30,classifications!C:I,7,FALSE))</f>
        <v>Predominantly Urban</v>
      </c>
      <c r="AB30" s="174" t="str">
        <f t="shared" si="14"/>
        <v/>
      </c>
      <c r="AC30" s="174" t="str">
        <f>IF(AB30="","",IF($I$8="A",(RANK(AB30,AB$11:AB$343)+COUNTIF(AB$11:AB30,AB30)-1),(RANK(AB30,AB$11:AB$343,1)+COUNTIF(AB$11:AB30,AB30)-1)))</f>
        <v/>
      </c>
      <c r="AD30" s="174"/>
      <c r="AE30" s="36"/>
      <c r="AG30" s="15"/>
      <c r="AH30" s="3"/>
      <c r="AI30" s="5" t="str">
        <f>IF(L30="","",VLOOKUP($L30,classifications!$C:$J,8,FALSE))</f>
        <v>Unitary</v>
      </c>
      <c r="AJ30" s="43">
        <f t="shared" si="5"/>
        <v>492.9</v>
      </c>
      <c r="AK30" s="40">
        <f>IF(AJ30="","",IF(I$8="A",(RANK(AJ30,AJ$11:AJ$343,1)+COUNTIF(AJ$11:AJ30,AJ30)-1),(RANK(AJ30,AJ$11:AJ$343)+COUNTIF(AJ$11:AJ30,AJ30)-1)))</f>
        <v>19</v>
      </c>
      <c r="AL30" s="3">
        <f t="shared" si="16"/>
        <v>20</v>
      </c>
      <c r="AM30" t="str">
        <f t="shared" si="6"/>
        <v>Torbay</v>
      </c>
      <c r="AN30">
        <f t="shared" si="7"/>
        <v>497</v>
      </c>
      <c r="AP30" s="5" t="str">
        <f>IF(L30="","",VLOOKUP($L30,classifications!$C:$E,3,FALSE))</f>
        <v>South East</v>
      </c>
      <c r="AQ30" s="43" t="str">
        <f t="shared" si="17"/>
        <v/>
      </c>
      <c r="AR30" s="40" t="str">
        <f>IF(AQ30="","",IF(I$8="A",(RANK(AQ30,AQ$11:AQ$343,1)+COUNTIF(AQ$11:AQ30,AQ30)-1),(RANK(AQ30,AQ$11:AQ$343)+COUNTIF(AQ$11:AQ30,AQ30)-1)))</f>
        <v/>
      </c>
      <c r="AS30" s="3" t="str">
        <f t="shared" si="18"/>
        <v/>
      </c>
      <c r="AT30" s="40" t="str">
        <f t="shared" si="8"/>
        <v/>
      </c>
      <c r="AU30" s="43" t="str">
        <f t="shared" si="9"/>
        <v/>
      </c>
      <c r="AX30">
        <f>HLOOKUP($AX$9&amp;$AX$10,Data!$A$1:$ZZ$1980,(MATCH($C30,Data!$A$1:$A$1980,0)),FALSE)</f>
        <v>462.4</v>
      </c>
    </row>
    <row r="31" spans="1:50">
      <c r="A31" s="59" t="str">
        <f>$D$1&amp;21</f>
        <v>UA21</v>
      </c>
      <c r="B31" s="60">
        <f>IF(ISERROR(VLOOKUP(A31,classifications!A:C,3,FALSE)),0,VLOOKUP(A31,classifications!A:C,3,FALSE))</f>
        <v>0</v>
      </c>
      <c r="C31" t="s">
        <v>261</v>
      </c>
      <c r="D31" t="str">
        <f>VLOOKUP($C31,classifications!$C:$J,4,FALSE)</f>
        <v>UA</v>
      </c>
      <c r="E31">
        <f>VLOOKUP(C31,classifications!C:K,9,FALSE)</f>
        <v>0</v>
      </c>
      <c r="F31">
        <f t="shared" si="0"/>
        <v>591.70000000000005</v>
      </c>
      <c r="G31" s="15"/>
      <c r="H31" s="42">
        <f t="shared" si="1"/>
        <v>591.70000000000005</v>
      </c>
      <c r="I31" s="79">
        <f>IF(H31="","",IF($I$8="A",(RANK(H31,H$11:H$343,1)+COUNTIF(H$11:H31,H31)-1),(RANK(H31,H$11:H$343)+COUNTIF(H$11:H31,H31)-1)))</f>
        <v>49</v>
      </c>
      <c r="J31" s="41"/>
      <c r="K31" s="36">
        <f t="shared" si="10"/>
        <v>21</v>
      </c>
      <c r="L31" t="str">
        <f t="shared" si="2"/>
        <v>Torbay</v>
      </c>
      <c r="M31" s="117">
        <f t="shared" si="3"/>
        <v>497</v>
      </c>
      <c r="N31" s="112">
        <f t="shared" si="23"/>
        <v>497</v>
      </c>
      <c r="O31" s="96" t="str">
        <f t="shared" si="11"/>
        <v/>
      </c>
      <c r="P31" s="96">
        <f t="shared" si="19"/>
        <v>497</v>
      </c>
      <c r="Q31" s="96" t="str">
        <f t="shared" si="20"/>
        <v/>
      </c>
      <c r="R31" s="92" t="str">
        <f t="shared" si="21"/>
        <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Urban with City and Town</v>
      </c>
      <c r="Y31" t="str">
        <f t="shared" si="4"/>
        <v/>
      </c>
      <c r="Z31" s="40" t="str">
        <f>IF(Y31="","",IF(I$8="A",(RANK(Y31,Y$11:Y$343,1)+COUNTIF(Y$11:Y31,Y31)-1),(RANK(Y31,Y$11:Y$343)+COUNTIF(Y$11:Y31,Y31)-1)))</f>
        <v/>
      </c>
      <c r="AA31" s="180" t="str">
        <f>IF(L31="","",VLOOKUP($L31,classifications!C:I,7,FALSE))</f>
        <v>Predominantly Urban</v>
      </c>
      <c r="AB31" s="174" t="str">
        <f t="shared" si="14"/>
        <v/>
      </c>
      <c r="AC31" s="174" t="str">
        <f>IF(AB31="","",IF($I$8="A",(RANK(AB31,AB$11:AB$343)+COUNTIF(AB$11:AB31,AB31)-1),(RANK(AB31,AB$11:AB$343,1)+COUNTIF(AB$11:AB31,AB31)-1)))</f>
        <v/>
      </c>
      <c r="AD31" s="174"/>
      <c r="AE31" s="36"/>
      <c r="AG31" s="15"/>
      <c r="AH31" s="3"/>
      <c r="AI31" s="5" t="str">
        <f>IF(L31="","",VLOOKUP($L31,classifications!$C:$J,8,FALSE))</f>
        <v>Unitary</v>
      </c>
      <c r="AJ31" s="43">
        <f t="shared" si="5"/>
        <v>497</v>
      </c>
      <c r="AK31" s="40">
        <f>IF(AJ31="","",IF(I$8="A",(RANK(AJ31,AJ$11:AJ$343,1)+COUNTIF(AJ$11:AJ31,AJ31)-1),(RANK(AJ31,AJ$11:AJ$343)+COUNTIF(AJ$11:AJ31,AJ31)-1)))</f>
        <v>20</v>
      </c>
      <c r="AL31" s="3">
        <f t="shared" si="16"/>
        <v>21</v>
      </c>
      <c r="AM31" t="str">
        <f t="shared" si="6"/>
        <v>York</v>
      </c>
      <c r="AN31">
        <f t="shared" si="7"/>
        <v>499.4</v>
      </c>
      <c r="AP31" s="5" t="str">
        <f>IF(L31="","",VLOOKUP($L31,classifications!$C:$E,3,FALSE))</f>
        <v>South West</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591.70000000000005</v>
      </c>
    </row>
    <row r="32" spans="1:50">
      <c r="A32" s="59" t="str">
        <f>$D$1&amp;22</f>
        <v>UA22</v>
      </c>
      <c r="B32" s="60">
        <f>IF(ISERROR(VLOOKUP(A32,classifications!A:C,3,FALSE)),0,VLOOKUP(A32,classifications!A:C,3,FALSE))</f>
        <v>0</v>
      </c>
      <c r="C32" t="s">
        <v>262</v>
      </c>
      <c r="D32" t="str">
        <f>VLOOKUP($C32,classifications!$C:$J,4,FALSE)</f>
        <v>UA</v>
      </c>
      <c r="E32">
        <f>VLOOKUP(C32,classifications!C:K,9,FALSE)</f>
        <v>0</v>
      </c>
      <c r="F32">
        <f t="shared" si="0"/>
        <v>469.9</v>
      </c>
      <c r="G32" s="15"/>
      <c r="H32" s="42">
        <f t="shared" si="1"/>
        <v>469.9</v>
      </c>
      <c r="I32" s="79">
        <f>IF(H32="","",IF($I$8="A",(RANK(H32,H$11:H$343,1)+COUNTIF(H$11:H32,H32)-1),(RANK(H32,H$11:H$343)+COUNTIF(H$11:H32,H32)-1)))</f>
        <v>15</v>
      </c>
      <c r="J32" s="41"/>
      <c r="K32" s="36">
        <f t="shared" si="10"/>
        <v>22</v>
      </c>
      <c r="L32" t="str">
        <f t="shared" si="2"/>
        <v>York</v>
      </c>
      <c r="M32" s="117">
        <f t="shared" si="3"/>
        <v>499.4</v>
      </c>
      <c r="N32" s="112">
        <f t="shared" si="23"/>
        <v>499.4</v>
      </c>
      <c r="O32" s="96" t="str">
        <f t="shared" si="11"/>
        <v/>
      </c>
      <c r="P32" s="96">
        <f t="shared" si="19"/>
        <v>499.4</v>
      </c>
      <c r="Q32" s="96" t="str">
        <f t="shared" si="20"/>
        <v/>
      </c>
      <c r="R32" s="92" t="str">
        <f t="shared" si="21"/>
        <v/>
      </c>
      <c r="S32" s="42" t="str">
        <f t="shared" si="12"/>
        <v/>
      </c>
      <c r="T32" s="167">
        <f>IF(L32="","",VLOOKUP(L32,classifications!C:K,9,FALSE))</f>
        <v>0</v>
      </c>
      <c r="U32" s="168" t="str">
        <f t="shared" si="13"/>
        <v/>
      </c>
      <c r="V32" s="174" t="str">
        <f>IF(U32="","",IF($I$8="A",(RANK(U32,U$11:U$343)+COUNTIF(U$11:U32,U32)-1),(RANK(U32,U$11:U$343,1)+COUNTIF(U$11:U32,U32)-1)))</f>
        <v/>
      </c>
      <c r="W32" s="175"/>
      <c r="X32" s="5" t="str">
        <f>IF(L32="","",VLOOKUP($L32,classifications!$C:$J,6,FALSE))</f>
        <v>Urban with City and Town</v>
      </c>
      <c r="Y32" t="str">
        <f t="shared" si="4"/>
        <v/>
      </c>
      <c r="Z32" s="40" t="str">
        <f>IF(Y32="","",IF(I$8="A",(RANK(Y32,Y$11:Y$343,1)+COUNTIF(Y$11:Y32,Y32)-1),(RANK(Y32,Y$11:Y$343)+COUNTIF(Y$11:Y32,Y32)-1)))</f>
        <v/>
      </c>
      <c r="AA32" s="180" t="str">
        <f>IF(L32="","",VLOOKUP($L32,classifications!C:I,7,FALSE))</f>
        <v>Predominantly Urban</v>
      </c>
      <c r="AB32" s="174" t="str">
        <f t="shared" si="14"/>
        <v/>
      </c>
      <c r="AC32" s="174" t="str">
        <f>IF(AB32="","",IF($I$8="A",(RANK(AB32,AB$11:AB$343)+COUNTIF(AB$11:AB32,AB32)-1),(RANK(AB32,AB$11:AB$343,1)+COUNTIF(AB$11:AB32,AB32)-1)))</f>
        <v/>
      </c>
      <c r="AD32" s="174"/>
      <c r="AE32" s="36"/>
      <c r="AG32" s="15"/>
      <c r="AH32" s="3"/>
      <c r="AI32" s="5" t="str">
        <f>IF(L32="","",VLOOKUP($L32,classifications!$C:$J,8,FALSE))</f>
        <v>Unitary</v>
      </c>
      <c r="AJ32" s="43">
        <f t="shared" si="5"/>
        <v>499.4</v>
      </c>
      <c r="AK32" s="40">
        <f>IF(AJ32="","",IF(I$8="A",(RANK(AJ32,AJ$11:AJ$343,1)+COUNTIF(AJ$11:AJ32,AJ32)-1),(RANK(AJ32,AJ$11:AJ$343)+COUNTIF(AJ$11:AJ32,AJ32)-1)))</f>
        <v>21</v>
      </c>
      <c r="AL32" s="3">
        <f t="shared" si="16"/>
        <v>22</v>
      </c>
      <c r="AM32" t="str">
        <f t="shared" si="6"/>
        <v>Shropshire</v>
      </c>
      <c r="AN32">
        <f t="shared" si="7"/>
        <v>502</v>
      </c>
      <c r="AP32" s="5" t="str">
        <f>IF(L32="","",VLOOKUP($L32,classifications!$C:$E,3,FALSE))</f>
        <v>Yorkshire &amp; Humberside</v>
      </c>
      <c r="AQ32" s="43" t="str">
        <f t="shared" si="17"/>
        <v/>
      </c>
      <c r="AR32" s="40" t="str">
        <f>IF(AQ32="","",IF(I$8="A",(RANK(AQ32,AQ$11:AQ$343,1)+COUNTIF(AQ$11:AQ32,AQ32)-1),(RANK(AQ32,AQ$11:AQ$343)+COUNTIF(AQ$11:AQ32,AQ32)-1)))</f>
        <v/>
      </c>
      <c r="AS32" s="3" t="str">
        <f t="shared" si="18"/>
        <v/>
      </c>
      <c r="AT32" s="40" t="str">
        <f t="shared" si="8"/>
        <v/>
      </c>
      <c r="AU32" s="43" t="str">
        <f t="shared" si="9"/>
        <v/>
      </c>
      <c r="AX32">
        <f>HLOOKUP($AX$9&amp;$AX$10,Data!$A$1:$ZZ$1980,(MATCH($C32,Data!$A$1:$A$1980,0)),FALSE)</f>
        <v>469.9</v>
      </c>
    </row>
    <row r="33" spans="1:50">
      <c r="A33" s="59" t="str">
        <f>$D$1&amp;23</f>
        <v>UA23</v>
      </c>
      <c r="B33" s="60">
        <f>IF(ISERROR(VLOOKUP(A33,classifications!A:C,3,FALSE)),0,VLOOKUP(A33,classifications!A:C,3,FALSE))</f>
        <v>0</v>
      </c>
      <c r="C33" t="s">
        <v>17</v>
      </c>
      <c r="D33" t="str">
        <f>VLOOKUP($C33,classifications!$C:$J,4,FALSE)</f>
        <v>SD</v>
      </c>
      <c r="E33">
        <f>VLOOKUP(C33,classifications!C:K,9,FALSE)</f>
        <v>0</v>
      </c>
      <c r="F33">
        <f t="shared" si="0"/>
        <v>547.6</v>
      </c>
      <c r="G33" s="15"/>
      <c r="H33" s="42" t="str">
        <f t="shared" si="1"/>
        <v/>
      </c>
      <c r="I33" s="79" t="str">
        <f>IF(H33="","",IF($I$8="A",(RANK(H33,H$11:H$343,1)+COUNTIF(H$11:H33,H33)-1),(RANK(H33,H$11:H$343)+COUNTIF(H$11:H33,H33)-1)))</f>
        <v/>
      </c>
      <c r="J33" s="41"/>
      <c r="K33" s="36">
        <f t="shared" si="10"/>
        <v>23</v>
      </c>
      <c r="L33" t="str">
        <f t="shared" si="2"/>
        <v>Shropshire</v>
      </c>
      <c r="M33" s="117">
        <f t="shared" si="3"/>
        <v>502</v>
      </c>
      <c r="N33" s="112">
        <f t="shared" si="23"/>
        <v>502</v>
      </c>
      <c r="O33" s="96" t="str">
        <f t="shared" si="11"/>
        <v/>
      </c>
      <c r="P33" s="96">
        <f t="shared" si="19"/>
        <v>502</v>
      </c>
      <c r="Q33" s="96" t="str">
        <f t="shared" si="20"/>
        <v/>
      </c>
      <c r="R33" s="92" t="str">
        <f t="shared" si="21"/>
        <v/>
      </c>
      <c r="S33" s="42" t="str">
        <f t="shared" si="12"/>
        <v/>
      </c>
      <c r="T33" s="167" t="str">
        <f>IF(L33="","",VLOOKUP(L33,classifications!C:K,9,FALSE))</f>
        <v>Sparse</v>
      </c>
      <c r="U33" s="168">
        <f t="shared" si="13"/>
        <v>502</v>
      </c>
      <c r="V33" s="174">
        <f>IF(U33="","",IF($I$8="A",(RANK(U33,U$11:U$343)+COUNTIF(U$11:U33,U33)-1),(RANK(U33,U$11:U$343,1)+COUNTIF(U$11:U33,U33)-1)))</f>
        <v>7</v>
      </c>
      <c r="W33" s="175"/>
      <c r="X33" s="5" t="str">
        <f>IF(L33="","",VLOOKUP($L33,classifications!$C:$J,6,FALSE))</f>
        <v xml:space="preserve">Largely Rural (rural including hub towns 50-79%) </v>
      </c>
      <c r="Y33">
        <f t="shared" si="4"/>
        <v>502</v>
      </c>
      <c r="Z33" s="40">
        <f>IF(Y33="","",IF(I$8="A",(RANK(Y33,Y$11:Y$343,1)+COUNTIF(Y$11:Y33,Y33)-1),(RANK(Y33,Y$11:Y$343)+COUNTIF(Y$11:Y33,Y33)-1)))</f>
        <v>10</v>
      </c>
      <c r="AA33" s="180" t="str">
        <f>IF(L33="","",VLOOKUP($L33,classifications!C:I,7,FALSE))</f>
        <v>Predominantly Rural</v>
      </c>
      <c r="AB33" s="174" t="str">
        <f t="shared" si="14"/>
        <v/>
      </c>
      <c r="AC33" s="174" t="str">
        <f>IF(AB33="","",IF($I$8="A",(RANK(AB33,AB$11:AB$343)+COUNTIF(AB$11:AB33,AB33)-1),(RANK(AB33,AB$11:AB$343,1)+COUNTIF(AB$11:AB33,AB33)-1)))</f>
        <v/>
      </c>
      <c r="AD33" s="174"/>
      <c r="AE33" s="36"/>
      <c r="AG33" s="15"/>
      <c r="AH33" s="3"/>
      <c r="AI33" s="5" t="str">
        <f>IF(L33="","",VLOOKUP($L33,classifications!$C:$J,8,FALSE))</f>
        <v>Unitary</v>
      </c>
      <c r="AJ33" s="43">
        <f t="shared" si="5"/>
        <v>502</v>
      </c>
      <c r="AK33" s="40">
        <f>IF(AJ33="","",IF(I$8="A",(RANK(AJ33,AJ$11:AJ$343,1)+COUNTIF(AJ$11:AJ33,AJ33)-1),(RANK(AJ33,AJ$11:AJ$343)+COUNTIF(AJ$11:AJ33,AJ33)-1)))</f>
        <v>22</v>
      </c>
      <c r="AL33" s="3">
        <f t="shared" si="16"/>
        <v>23</v>
      </c>
      <c r="AM33" t="str">
        <f t="shared" si="6"/>
        <v>Southend-on-Sea</v>
      </c>
      <c r="AN33">
        <f t="shared" si="7"/>
        <v>509.6</v>
      </c>
      <c r="AP33" s="5" t="str">
        <f>IF(L33="","",VLOOKUP($L33,classifications!$C:$E,3,FALSE))</f>
        <v>West Midlands</v>
      </c>
      <c r="AQ33" s="43" t="str">
        <f t="shared" si="17"/>
        <v/>
      </c>
      <c r="AR33" s="40" t="str">
        <f>IF(AQ33="","",IF(I$8="A",(RANK(AQ33,AQ$11:AQ$343,1)+COUNTIF(AQ$11:AQ33,AQ33)-1),(RANK(AQ33,AQ$11:AQ$343)+COUNTIF(AQ$11:AQ33,AQ33)-1)))</f>
        <v/>
      </c>
      <c r="AS33" s="3" t="str">
        <f t="shared" si="18"/>
        <v/>
      </c>
      <c r="AT33" s="40" t="str">
        <f t="shared" si="8"/>
        <v/>
      </c>
      <c r="AU33" s="43" t="str">
        <f t="shared" si="9"/>
        <v/>
      </c>
      <c r="AX33">
        <f>HLOOKUP($AX$9&amp;$AX$10,Data!$A$1:$ZZ$1980,(MATCH($C33,Data!$A$1:$A$1980,0)),FALSE)</f>
        <v>547.6</v>
      </c>
    </row>
    <row r="34" spans="1:50">
      <c r="A34" s="59" t="str">
        <f>$D$1&amp;24</f>
        <v>UA24</v>
      </c>
      <c r="B34" s="60">
        <f>IF(ISERROR(VLOOKUP(A34,classifications!A:C,3,FALSE)),0,VLOOKUP(A34,classifications!A:C,3,FALSE))</f>
        <v>0</v>
      </c>
      <c r="C34" t="s">
        <v>225</v>
      </c>
      <c r="D34" t="str">
        <f>VLOOKUP($C34,classifications!$C:$J,4,FALSE)</f>
        <v>MD</v>
      </c>
      <c r="E34">
        <f>VLOOKUP(C34,classifications!C:K,9,FALSE)</f>
        <v>0</v>
      </c>
      <c r="F34">
        <f t="shared" si="0"/>
        <v>351.8</v>
      </c>
      <c r="G34" s="15"/>
      <c r="H34" s="42" t="str">
        <f t="shared" si="1"/>
        <v/>
      </c>
      <c r="I34" s="79" t="str">
        <f>IF(H34="","",IF($I$8="A",(RANK(H34,H$11:H$343,1)+COUNTIF(H$11:H34,H34)-1),(RANK(H34,H$11:H$343)+COUNTIF(H$11:H34,H34)-1)))</f>
        <v/>
      </c>
      <c r="J34" s="41"/>
      <c r="K34" s="36">
        <f t="shared" si="10"/>
        <v>24</v>
      </c>
      <c r="L34" t="str">
        <f t="shared" si="2"/>
        <v>Southend-on-Sea</v>
      </c>
      <c r="M34" s="117">
        <f t="shared" si="3"/>
        <v>509.6</v>
      </c>
      <c r="N34" s="112">
        <f t="shared" si="23"/>
        <v>509.6</v>
      </c>
      <c r="O34" s="96" t="str">
        <f t="shared" si="11"/>
        <v/>
      </c>
      <c r="P34" s="96">
        <f t="shared" si="19"/>
        <v>509.6</v>
      </c>
      <c r="Q34" s="96" t="str">
        <f t="shared" si="20"/>
        <v/>
      </c>
      <c r="R34" s="92" t="str">
        <f t="shared" si="21"/>
        <v/>
      </c>
      <c r="S34" s="42" t="str">
        <f t="shared" si="12"/>
        <v/>
      </c>
      <c r="T34" s="167">
        <f>IF(L34="","",VLOOKUP(L34,classifications!C:K,9,FALSE))</f>
        <v>0</v>
      </c>
      <c r="U34" s="168" t="str">
        <f t="shared" si="13"/>
        <v/>
      </c>
      <c r="V34" s="174" t="str">
        <f>IF(U34="","",IF($I$8="A",(RANK(U34,U$11:U$343)+COUNTIF(U$11:U34,U34)-1),(RANK(U34,U$11:U$343,1)+COUNTIF(U$11:U34,U34)-1)))</f>
        <v/>
      </c>
      <c r="W34" s="175"/>
      <c r="X34" s="5" t="str">
        <f>IF(L34="","",VLOOKUP($L34,classifications!$C:$J,6,FALSE))</f>
        <v>Urban with City and Town</v>
      </c>
      <c r="Y34" t="str">
        <f t="shared" si="4"/>
        <v/>
      </c>
      <c r="Z34" s="40" t="str">
        <f>IF(Y34="","",IF(I$8="A",(RANK(Y34,Y$11:Y$343,1)+COUNTIF(Y$11:Y34,Y34)-1),(RANK(Y34,Y$11:Y$343)+COUNTIF(Y$11:Y34,Y34)-1)))</f>
        <v/>
      </c>
      <c r="AA34" s="180" t="str">
        <f>IF(L34="","",VLOOKUP($L34,classifications!C:I,7,FALSE))</f>
        <v>Predominantly Urban</v>
      </c>
      <c r="AB34" s="174" t="str">
        <f t="shared" si="14"/>
        <v/>
      </c>
      <c r="AC34" s="174" t="str">
        <f>IF(AB34="","",IF($I$8="A",(RANK(AB34,AB$11:AB$343)+COUNTIF(AB$11:AB34,AB34)-1),(RANK(AB34,AB$11:AB$343,1)+COUNTIF(AB$11:AB34,AB34)-1)))</f>
        <v/>
      </c>
      <c r="AD34" s="174"/>
      <c r="AE34" s="36"/>
      <c r="AG34" s="15"/>
      <c r="AH34" s="3"/>
      <c r="AI34" s="5" t="str">
        <f>IF(L34="","",VLOOKUP($L34,classifications!$C:$J,8,FALSE))</f>
        <v>Unitary</v>
      </c>
      <c r="AJ34" s="43">
        <f t="shared" si="5"/>
        <v>509.6</v>
      </c>
      <c r="AK34" s="40">
        <f>IF(AJ34="","",IF(I$8="A",(RANK(AJ34,AJ$11:AJ$343,1)+COUNTIF(AJ$11:AJ34,AJ34)-1),(RANK(AJ34,AJ$11:AJ$343)+COUNTIF(AJ$11:AJ34,AJ34)-1)))</f>
        <v>23</v>
      </c>
      <c r="AL34" s="3">
        <f t="shared" si="16"/>
        <v>24</v>
      </c>
      <c r="AM34" t="str">
        <f t="shared" si="6"/>
        <v>North Lincolnshire</v>
      </c>
      <c r="AN34">
        <f t="shared" si="7"/>
        <v>514.4</v>
      </c>
      <c r="AP34" s="5" t="str">
        <f>IF(L34="","",VLOOKUP($L34,classifications!$C:$E,3,FALSE))</f>
        <v>East of England</v>
      </c>
      <c r="AQ34" s="43" t="str">
        <f t="shared" si="17"/>
        <v/>
      </c>
      <c r="AR34" s="40" t="str">
        <f>IF(AQ34="","",IF(I$8="A",(RANK(AQ34,AQ$11:AQ$343,1)+COUNTIF(AQ$11:AQ34,AQ34)-1),(RANK(AQ34,AQ$11:AQ$343)+COUNTIF(AQ$11:AQ34,AQ34)-1)))</f>
        <v/>
      </c>
      <c r="AS34" s="3" t="str">
        <f t="shared" si="18"/>
        <v/>
      </c>
      <c r="AT34" s="40" t="str">
        <f t="shared" si="8"/>
        <v/>
      </c>
      <c r="AU34" s="43" t="str">
        <f t="shared" si="9"/>
        <v/>
      </c>
      <c r="AX34">
        <f>HLOOKUP($AX$9&amp;$AX$10,Data!$A$1:$ZZ$1980,(MATCH($C34,Data!$A$1:$A$1980,0)),FALSE)</f>
        <v>351.8</v>
      </c>
    </row>
    <row r="35" spans="1:50">
      <c r="A35" s="59" t="str">
        <f>$D$1&amp;25</f>
        <v>UA25</v>
      </c>
      <c r="B35" s="60">
        <f>IF(ISERROR(VLOOKUP(A35,classifications!A:C,3,FALSE)),0,VLOOKUP(A35,classifications!A:C,3,FALSE))</f>
        <v>0</v>
      </c>
      <c r="C35" t="s">
        <v>18</v>
      </c>
      <c r="D35" t="str">
        <f>VLOOKUP($C35,classifications!$C:$J,4,FALSE)</f>
        <v>SD</v>
      </c>
      <c r="E35" t="str">
        <f>VLOOKUP(C35,classifications!C:K,9,FALSE)</f>
        <v>Sparse</v>
      </c>
      <c r="F35">
        <f t="shared" si="0"/>
        <v>569.29999999999995</v>
      </c>
      <c r="G35" s="15"/>
      <c r="H35" s="42" t="str">
        <f t="shared" si="1"/>
        <v/>
      </c>
      <c r="I35" s="79" t="str">
        <f>IF(H35="","",IF($I$8="A",(RANK(H35,H$11:H$343,1)+COUNTIF(H$11:H35,H35)-1),(RANK(H35,H$11:H$343)+COUNTIF(H$11:H35,H35)-1)))</f>
        <v/>
      </c>
      <c r="J35" s="41"/>
      <c r="K35" s="36">
        <f t="shared" si="10"/>
        <v>25</v>
      </c>
      <c r="L35" t="str">
        <f t="shared" si="2"/>
        <v>North Lincolnshire</v>
      </c>
      <c r="M35" s="117">
        <f t="shared" si="3"/>
        <v>514.4</v>
      </c>
      <c r="N35" s="112">
        <f t="shared" si="23"/>
        <v>514.4</v>
      </c>
      <c r="O35" s="96" t="str">
        <f t="shared" si="11"/>
        <v/>
      </c>
      <c r="P35" s="96">
        <f t="shared" si="19"/>
        <v>514.4</v>
      </c>
      <c r="Q35" s="96" t="str">
        <f t="shared" si="20"/>
        <v/>
      </c>
      <c r="R35" s="92" t="str">
        <f t="shared" si="21"/>
        <v/>
      </c>
      <c r="S35" s="42" t="str">
        <f t="shared" si="12"/>
        <v/>
      </c>
      <c r="T35" s="167" t="str">
        <f>IF(L35="","",VLOOKUP(L35,classifications!C:K,9,FALSE))</f>
        <v>Sparse</v>
      </c>
      <c r="U35" s="168">
        <f t="shared" si="13"/>
        <v>514.4</v>
      </c>
      <c r="V35" s="174">
        <f>IF(U35="","",IF($I$8="A",(RANK(U35,U$11:U$343)+COUNTIF(U$11:U35,U35)-1),(RANK(U35,U$11:U$343,1)+COUNTIF(U$11:U35,U35)-1)))</f>
        <v>6</v>
      </c>
      <c r="W35" s="175"/>
      <c r="X35" s="5" t="str">
        <f>IF(L35="","",VLOOKUP($L35,classifications!$C:$J,6,FALSE))</f>
        <v>Urban with Significant Rural (rural including hub towns 26-49%)</v>
      </c>
      <c r="Y35">
        <f t="shared" si="4"/>
        <v>514.4</v>
      </c>
      <c r="Z35" s="40">
        <f>IF(Y35="","",IF(I$8="A",(RANK(Y35,Y$11:Y$343,1)+COUNTIF(Y$11:Y35,Y35)-1),(RANK(Y35,Y$11:Y$343)+COUNTIF(Y$11:Y35,Y35)-1)))</f>
        <v>11</v>
      </c>
      <c r="AA35" s="180" t="str">
        <f>IF(L35="","",VLOOKUP($L35,classifications!C:I,7,FALSE))</f>
        <v>Significant Rural</v>
      </c>
      <c r="AB35" s="174">
        <f t="shared" si="14"/>
        <v>514.4</v>
      </c>
      <c r="AC35" s="174">
        <f>IF(AB35="","",IF($I$8="A",(RANK(AB35,AB$11:AB$343)+COUNTIF(AB$11:AB35,AB35)-1),(RANK(AB35,AB$11:AB$343,1)+COUNTIF(AB$11:AB35,AB35)-1)))</f>
        <v>4</v>
      </c>
      <c r="AD35" s="174"/>
      <c r="AE35" s="36" t="str">
        <f t="shared" ref="AE35:AE66" si="24">IF(AE34="","",IF(AE34+1&gt;(COUNT(AG:AG)),"",AE34+1))</f>
        <v/>
      </c>
      <c r="AG35" s="15"/>
      <c r="AH35" s="3"/>
      <c r="AI35" s="5" t="str">
        <f>IF(L35="","",VLOOKUP($L35,classifications!$C:$J,8,FALSE))</f>
        <v>Unitary</v>
      </c>
      <c r="AJ35" s="43">
        <f t="shared" si="5"/>
        <v>514.4</v>
      </c>
      <c r="AK35" s="40">
        <f>IF(AJ35="","",IF(I$8="A",(RANK(AJ35,AJ$11:AJ$343,1)+COUNTIF(AJ$11:AJ35,AJ35)-1),(RANK(AJ35,AJ$11:AJ$343)+COUNTIF(AJ$11:AJ35,AJ35)-1)))</f>
        <v>24</v>
      </c>
      <c r="AL35" s="3">
        <f t="shared" si="16"/>
        <v>25</v>
      </c>
      <c r="AM35" t="str">
        <f t="shared" si="6"/>
        <v>Warrington</v>
      </c>
      <c r="AN35">
        <f t="shared" si="7"/>
        <v>517.6</v>
      </c>
      <c r="AP35" s="5" t="str">
        <f>IF(L35="","",VLOOKUP($L35,classifications!$C:$E,3,FALSE))</f>
        <v>Yorkshire &amp; Humberside</v>
      </c>
      <c r="AQ35" s="43" t="str">
        <f t="shared" si="17"/>
        <v/>
      </c>
      <c r="AR35" s="40" t="str">
        <f>IF(AQ35="","",IF(I$8="A",(RANK(AQ35,AQ$11:AQ$343,1)+COUNTIF(AQ$11:AQ35,AQ35)-1),(RANK(AQ35,AQ$11:AQ$343)+COUNTIF(AQ$11:AQ35,AQ35)-1)))</f>
        <v/>
      </c>
      <c r="AS35" s="3" t="str">
        <f t="shared" si="18"/>
        <v/>
      </c>
      <c r="AT35" s="40" t="str">
        <f t="shared" si="8"/>
        <v/>
      </c>
      <c r="AU35" s="43" t="str">
        <f t="shared" si="9"/>
        <v/>
      </c>
      <c r="AX35">
        <f>HLOOKUP($AX$9&amp;$AX$10,Data!$A$1:$ZZ$1980,(MATCH($C35,Data!$A$1:$A$1980,0)),FALSE)</f>
        <v>569.29999999999995</v>
      </c>
    </row>
    <row r="36" spans="1:50">
      <c r="A36" s="59" t="str">
        <f>$D$1&amp;26</f>
        <v>UA26</v>
      </c>
      <c r="B36" s="60">
        <f>IF(ISERROR(VLOOKUP(A36,classifications!A:C,3,FALSE)),0,VLOOKUP(A36,classifications!A:C,3,FALSE))</f>
        <v>0</v>
      </c>
      <c r="C36" t="s">
        <v>902</v>
      </c>
      <c r="D36" t="str">
        <f>VLOOKUP($C36,classifications!$C:$J,4,FALSE)</f>
        <v>UA</v>
      </c>
      <c r="E36">
        <f>VLOOKUP(C36,classifications!C:K,9,FALSE)</f>
        <v>0</v>
      </c>
      <c r="F36">
        <f t="shared" si="0"/>
        <v>454.1</v>
      </c>
      <c r="G36" s="15"/>
      <c r="H36" s="42">
        <f t="shared" si="1"/>
        <v>454.1</v>
      </c>
      <c r="I36" s="79">
        <f>IF(H36="","",IF($I$8="A",(RANK(H36,H$11:H$343,1)+COUNTIF(H$11:H36,H36)-1),(RANK(H36,H$11:H$343)+COUNTIF(H$11:H36,H36)-1)))</f>
        <v>13</v>
      </c>
      <c r="J36" s="41"/>
      <c r="K36" s="36">
        <f t="shared" si="10"/>
        <v>26</v>
      </c>
      <c r="L36" t="str">
        <f t="shared" si="2"/>
        <v>Warrington</v>
      </c>
      <c r="M36" s="117">
        <f t="shared" si="3"/>
        <v>517.6</v>
      </c>
      <c r="N36" s="112">
        <f t="shared" si="23"/>
        <v>517.6</v>
      </c>
      <c r="O36" s="96" t="str">
        <f t="shared" si="11"/>
        <v/>
      </c>
      <c r="P36" s="96">
        <f t="shared" si="19"/>
        <v>517.6</v>
      </c>
      <c r="Q36" s="96" t="str">
        <f t="shared" si="20"/>
        <v/>
      </c>
      <c r="R36" s="92" t="str">
        <f t="shared" si="21"/>
        <v/>
      </c>
      <c r="S36" s="42" t="str">
        <f t="shared" si="12"/>
        <v/>
      </c>
      <c r="T36" s="167">
        <f>IF(L36="","",VLOOKUP(L36,classifications!C:K,9,FALSE))</f>
        <v>0</v>
      </c>
      <c r="U36" s="168" t="str">
        <f t="shared" si="13"/>
        <v/>
      </c>
      <c r="V36" s="174" t="str">
        <f>IF(U36="","",IF($I$8="A",(RANK(U36,U$11:U$343)+COUNTIF(U$11:U36,U36)-1),(RANK(U36,U$11:U$343,1)+COUNTIF(U$11:U36,U36)-1)))</f>
        <v/>
      </c>
      <c r="W36" s="175"/>
      <c r="X36" s="5" t="str">
        <f>IF(L36="","",VLOOKUP($L36,classifications!$C:$J,6,FALSE))</f>
        <v>Urban with City and Town</v>
      </c>
      <c r="Y36" t="str">
        <f t="shared" si="4"/>
        <v/>
      </c>
      <c r="Z36" s="40" t="str">
        <f>IF(Y36="","",IF(I$8="A",(RANK(Y36,Y$11:Y$343,1)+COUNTIF(Y$11:Y36,Y36)-1),(RANK(Y36,Y$11:Y$343)+COUNTIF(Y$11:Y36,Y36)-1)))</f>
        <v/>
      </c>
      <c r="AA36" s="180" t="str">
        <f>IF(L36="","",VLOOKUP($L36,classifications!C:I,7,FALSE))</f>
        <v>Predominantly Urban</v>
      </c>
      <c r="AB36" s="174" t="str">
        <f t="shared" si="14"/>
        <v/>
      </c>
      <c r="AC36" s="174" t="str">
        <f>IF(AB36="","",IF($I$8="A",(RANK(AB36,AB$11:AB$343)+COUNTIF(AB$11:AB36,AB36)-1),(RANK(AB36,AB$11:AB$343,1)+COUNTIF(AB$11:AB36,AB36)-1)))</f>
        <v/>
      </c>
      <c r="AD36" s="174"/>
      <c r="AE36" s="36" t="str">
        <f t="shared" si="24"/>
        <v/>
      </c>
      <c r="AG36" s="15"/>
      <c r="AH36" s="3"/>
      <c r="AI36" s="5" t="str">
        <f>IF(L36="","",VLOOKUP($L36,classifications!$C:$J,8,FALSE))</f>
        <v>Unitary</v>
      </c>
      <c r="AJ36" s="43">
        <f t="shared" si="5"/>
        <v>517.6</v>
      </c>
      <c r="AK36" s="40">
        <f>IF(AJ36="","",IF(I$8="A",(RANK(AJ36,AJ$11:AJ$343,1)+COUNTIF(AJ$11:AJ36,AJ36)-1),(RANK(AJ36,AJ$11:AJ$343)+COUNTIF(AJ$11:AJ36,AJ36)-1)))</f>
        <v>25</v>
      </c>
      <c r="AL36" s="3">
        <f t="shared" si="16"/>
        <v>26</v>
      </c>
      <c r="AM36" t="str">
        <f t="shared" si="6"/>
        <v>Leicester</v>
      </c>
      <c r="AN36">
        <f t="shared" si="7"/>
        <v>521.9</v>
      </c>
      <c r="AP36" s="5" t="str">
        <f>IF(L36="","",VLOOKUP($L36,classifications!$C:$E,3,FALSE))</f>
        <v>North West</v>
      </c>
      <c r="AQ36" s="43">
        <f t="shared" si="17"/>
        <v>517.6</v>
      </c>
      <c r="AR36" s="40">
        <f>IF(AQ36="","",IF(I$8="A",(RANK(AQ36,AQ$11:AQ$343,1)+COUNTIF(AQ$11:AQ36,AQ36)-1),(RANK(AQ36,AQ$11:AQ$343)+COUNTIF(AQ$11:AQ36,AQ36)-1)))</f>
        <v>4</v>
      </c>
      <c r="AS36" s="3" t="str">
        <f t="shared" si="18"/>
        <v/>
      </c>
      <c r="AT36" s="40" t="str">
        <f t="shared" si="8"/>
        <v/>
      </c>
      <c r="AU36" s="43" t="str">
        <f t="shared" si="9"/>
        <v/>
      </c>
      <c r="AX36">
        <f>HLOOKUP($AX$9&amp;$AX$10,Data!$A$1:$ZZ$1980,(MATCH($C36,Data!$A$1:$A$1980,0)),FALSE)</f>
        <v>454.1</v>
      </c>
    </row>
    <row r="37" spans="1:50">
      <c r="A37" s="59" t="str">
        <f>$D$1&amp;27</f>
        <v>UA27</v>
      </c>
      <c r="B37" s="60">
        <f>IF(ISERROR(VLOOKUP(A37,classifications!A:C,3,FALSE)),0,VLOOKUP(A37,classifications!A:C,3,FALSE))</f>
        <v>0</v>
      </c>
      <c r="C37" t="s">
        <v>264</v>
      </c>
      <c r="D37" t="str">
        <f>VLOOKUP($C37,classifications!$C:$J,4,FALSE)</f>
        <v>UA</v>
      </c>
      <c r="E37">
        <f>VLOOKUP(C37,classifications!C:K,9,FALSE)</f>
        <v>0</v>
      </c>
      <c r="F37">
        <f t="shared" si="0"/>
        <v>392.2</v>
      </c>
      <c r="G37" s="15"/>
      <c r="H37" s="42">
        <f t="shared" si="1"/>
        <v>392.2</v>
      </c>
      <c r="I37" s="79">
        <f>IF(H37="","",IF($I$8="A",(RANK(H37,H$11:H$343,1)+COUNTIF(H$11:H37,H37)-1),(RANK(H37,H$11:H$343)+COUNTIF(H$11:H37,H37)-1)))</f>
        <v>6</v>
      </c>
      <c r="J37" s="41"/>
      <c r="K37" s="36">
        <f t="shared" si="10"/>
        <v>27</v>
      </c>
      <c r="L37" t="str">
        <f t="shared" si="2"/>
        <v>Leicester</v>
      </c>
      <c r="M37" s="117">
        <f t="shared" si="3"/>
        <v>521.9</v>
      </c>
      <c r="N37" s="112">
        <f t="shared" si="23"/>
        <v>521.9</v>
      </c>
      <c r="O37" s="96" t="str">
        <f t="shared" si="11"/>
        <v/>
      </c>
      <c r="P37" s="96">
        <f t="shared" si="19"/>
        <v>521.9</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Urban with City and Town</v>
      </c>
      <c r="Y37" t="str">
        <f t="shared" si="4"/>
        <v/>
      </c>
      <c r="Z37" s="40" t="str">
        <f>IF(Y37="","",IF(I$8="A",(RANK(Y37,Y$11:Y$343,1)+COUNTIF(Y$11:Y37,Y37)-1),(RANK(Y37,Y$11:Y$343)+COUNTIF(Y$11:Y37,Y37)-1)))</f>
        <v/>
      </c>
      <c r="AA37" s="180" t="str">
        <f>IF(L37="","",VLOOKUP($L37,classifications!C:I,7,FALSE))</f>
        <v>Predominantly Urban</v>
      </c>
      <c r="AB37" s="174" t="str">
        <f t="shared" si="14"/>
        <v/>
      </c>
      <c r="AC37" s="174" t="str">
        <f>IF(AB37="","",IF($I$8="A",(RANK(AB37,AB$11:AB$343)+COUNTIF(AB$11:AB37,AB37)-1),(RANK(AB37,AB$11:AB$343,1)+COUNTIF(AB$11:AB37,AB37)-1)))</f>
        <v/>
      </c>
      <c r="AD37" s="174"/>
      <c r="AE37" s="36" t="str">
        <f t="shared" si="24"/>
        <v/>
      </c>
      <c r="AG37" s="15"/>
      <c r="AH37" s="3"/>
      <c r="AI37" s="5" t="str">
        <f>IF(L37="","",VLOOKUP($L37,classifications!$C:$J,8,FALSE))</f>
        <v>Unitary</v>
      </c>
      <c r="AJ37" s="43">
        <f t="shared" si="5"/>
        <v>521.9</v>
      </c>
      <c r="AK37" s="40">
        <f>IF(AJ37="","",IF(I$8="A",(RANK(AJ37,AJ$11:AJ$343,1)+COUNTIF(AJ$11:AJ37,AJ37)-1),(RANK(AJ37,AJ$11:AJ$343)+COUNTIF(AJ$11:AJ37,AJ37)-1)))</f>
        <v>26</v>
      </c>
      <c r="AL37" s="3">
        <f t="shared" si="16"/>
        <v>27</v>
      </c>
      <c r="AM37" t="str">
        <f t="shared" si="6"/>
        <v>North Northamptonshire</v>
      </c>
      <c r="AN37">
        <f t="shared" si="7"/>
        <v>526.29999999999995</v>
      </c>
      <c r="AP37" s="5" t="str">
        <f>IF(L37="","",VLOOKUP($L37,classifications!$C:$E,3,FALSE))</f>
        <v>East Midlands</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392.2</v>
      </c>
    </row>
    <row r="38" spans="1:50">
      <c r="A38" s="59" t="str">
        <f>$D$1&amp;28</f>
        <v>UA28</v>
      </c>
      <c r="B38" s="60">
        <f>IF(ISERROR(VLOOKUP(A38,classifications!A:C,3,FALSE)),0,VLOOKUP(A38,classifications!A:C,3,FALSE))</f>
        <v>0</v>
      </c>
      <c r="C38" t="s">
        <v>226</v>
      </c>
      <c r="D38" t="str">
        <f>VLOOKUP($C38,classifications!$C:$J,4,FALSE)</f>
        <v>MD</v>
      </c>
      <c r="E38">
        <f>VLOOKUP(C38,classifications!C:K,9,FALSE)</f>
        <v>0</v>
      </c>
      <c r="F38">
        <f t="shared" si="0"/>
        <v>527.70000000000005</v>
      </c>
      <c r="G38" s="15"/>
      <c r="H38" s="42" t="str">
        <f t="shared" si="1"/>
        <v/>
      </c>
      <c r="I38" s="79" t="str">
        <f>IF(H38="","",IF($I$8="A",(RANK(H38,H$11:H$343,1)+COUNTIF(H$11:H38,H38)-1),(RANK(H38,H$11:H$343)+COUNTIF(H$11:H38,H38)-1)))</f>
        <v/>
      </c>
      <c r="J38" s="41"/>
      <c r="K38" s="36">
        <f t="shared" si="10"/>
        <v>28</v>
      </c>
      <c r="L38" t="str">
        <f t="shared" si="2"/>
        <v>North Northamptonshire</v>
      </c>
      <c r="M38" s="117">
        <f t="shared" si="3"/>
        <v>526.29999999999995</v>
      </c>
      <c r="N38" s="112">
        <f t="shared" si="23"/>
        <v>526.29999999999995</v>
      </c>
      <c r="O38" s="96" t="str">
        <f t="shared" si="11"/>
        <v/>
      </c>
      <c r="P38" s="96">
        <f t="shared" si="19"/>
        <v>526.29999999999995</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Urban with Significant Rural</v>
      </c>
      <c r="Y38" t="str">
        <f t="shared" si="4"/>
        <v/>
      </c>
      <c r="Z38" s="40" t="str">
        <f>IF(Y38="","",IF(I$8="A",(RANK(Y38,Y$11:Y$343,1)+COUNTIF(Y$11:Y38,Y38)-1),(RANK(Y38,Y$11:Y$343)+COUNTIF(Y$11:Y38,Y38)-1)))</f>
        <v/>
      </c>
      <c r="AA38" s="180" t="str">
        <f>IF(L38="","",VLOOKUP($L38,classifications!C:I,7,FALSE))</f>
        <v>Urban with Significant Rural</v>
      </c>
      <c r="AB38" s="174" t="str">
        <f t="shared" si="14"/>
        <v/>
      </c>
      <c r="AC38" s="174" t="str">
        <f>IF(AB38="","",IF($I$8="A",(RANK(AB38,AB$11:AB$343)+COUNTIF(AB$11:AB38,AB38)-1),(RANK(AB38,AB$11:AB$343,1)+COUNTIF(AB$11:AB38,AB38)-1)))</f>
        <v/>
      </c>
      <c r="AD38" s="174"/>
      <c r="AE38" s="36" t="str">
        <f t="shared" si="24"/>
        <v/>
      </c>
      <c r="AG38" s="15"/>
      <c r="AH38" s="3"/>
      <c r="AI38" s="5" t="str">
        <f>IF(L38="","",VLOOKUP($L38,classifications!$C:$J,8,FALSE))</f>
        <v>Unitary</v>
      </c>
      <c r="AJ38" s="43">
        <f t="shared" si="5"/>
        <v>526.29999999999995</v>
      </c>
      <c r="AK38" s="40">
        <f>IF(AJ38="","",IF(I$8="A",(RANK(AJ38,AJ$11:AJ$343,1)+COUNTIF(AJ$11:AJ38,AJ38)-1),(RANK(AJ38,AJ$11:AJ$343)+COUNTIF(AJ$11:AJ38,AJ38)-1)))</f>
        <v>27</v>
      </c>
      <c r="AL38" s="3">
        <f t="shared" si="16"/>
        <v>28</v>
      </c>
      <c r="AM38" t="str">
        <f t="shared" si="6"/>
        <v>Rutland</v>
      </c>
      <c r="AN38">
        <f t="shared" si="7"/>
        <v>529.20000000000005</v>
      </c>
      <c r="AP38" s="5" t="str">
        <f>IF(L38="","",VLOOKUP($L38,classifications!$C:$E,3,FALSE))</f>
        <v>East Midlands</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527.70000000000005</v>
      </c>
    </row>
    <row r="39" spans="1:50">
      <c r="A39" s="59" t="str">
        <f>$D$1&amp;29</f>
        <v>UA29</v>
      </c>
      <c r="B39" s="60">
        <f>IF(ISERROR(VLOOKUP(A39,classifications!A:C,3,FALSE)),0,VLOOKUP(A39,classifications!A:C,3,FALSE))</f>
        <v>0</v>
      </c>
      <c r="C39" t="s">
        <v>19</v>
      </c>
      <c r="D39" t="str">
        <f>VLOOKUP($C39,classifications!$C:$J,4,FALSE)</f>
        <v>SD</v>
      </c>
      <c r="E39" t="str">
        <f>VLOOKUP(C39,classifications!C:K,9,FALSE)</f>
        <v>Sparse</v>
      </c>
      <c r="F39">
        <f t="shared" si="0"/>
        <v>489.3</v>
      </c>
      <c r="G39" s="15"/>
      <c r="H39" s="42" t="str">
        <f t="shared" si="1"/>
        <v/>
      </c>
      <c r="I39" s="79" t="str">
        <f>IF(H39="","",IF($I$8="A",(RANK(H39,H$11:H$343,1)+COUNTIF(H$11:H39,H39)-1),(RANK(H39,H$11:H$343)+COUNTIF(H$11:H39,H39)-1)))</f>
        <v/>
      </c>
      <c r="J39" s="41"/>
      <c r="K39" s="36">
        <f t="shared" si="10"/>
        <v>29</v>
      </c>
      <c r="L39" t="str">
        <f t="shared" si="2"/>
        <v>Rutland</v>
      </c>
      <c r="M39" s="117">
        <f t="shared" si="3"/>
        <v>529.20000000000005</v>
      </c>
      <c r="N39" s="112">
        <f t="shared" si="23"/>
        <v>529.20000000000005</v>
      </c>
      <c r="O39" s="96" t="str">
        <f t="shared" si="11"/>
        <v/>
      </c>
      <c r="P39" s="96">
        <f t="shared" si="19"/>
        <v>529.20000000000005</v>
      </c>
      <c r="Q39" s="96" t="str">
        <f t="shared" si="20"/>
        <v/>
      </c>
      <c r="R39" s="92" t="str">
        <f t="shared" si="21"/>
        <v/>
      </c>
      <c r="S39" s="42" t="str">
        <f t="shared" si="12"/>
        <v/>
      </c>
      <c r="T39" s="167" t="str">
        <f>IF(L39="","",VLOOKUP(L39,classifications!C:K,9,FALSE))</f>
        <v>Sparse</v>
      </c>
      <c r="U39" s="168">
        <f t="shared" si="13"/>
        <v>529.20000000000005</v>
      </c>
      <c r="V39" s="174">
        <f>IF(U39="","",IF($I$8="A",(RANK(U39,U$11:U$343)+COUNTIF(U$11:U39,U39)-1),(RANK(U39,U$11:U$343,1)+COUNTIF(U$11:U39,U39)-1)))</f>
        <v>5</v>
      </c>
      <c r="W39" s="175"/>
      <c r="X39" s="5" t="str">
        <f>IF(L39="","",VLOOKUP($L39,classifications!$C:$J,6,FALSE))</f>
        <v xml:space="preserve">Mainly Rural (rural including hub towns &gt;=80%) </v>
      </c>
      <c r="Y39">
        <f t="shared" si="4"/>
        <v>529.20000000000005</v>
      </c>
      <c r="Z39" s="40">
        <f>IF(Y39="","",IF(I$8="A",(RANK(Y39,Y$11:Y$343,1)+COUNTIF(Y$11:Y39,Y39)-1),(RANK(Y39,Y$11:Y$343)+COUNTIF(Y$11:Y39,Y39)-1)))</f>
        <v>12</v>
      </c>
      <c r="AA39" s="180" t="str">
        <f>IF(L39="","",VLOOKUP($L39,classifications!C:I,7,FALSE))</f>
        <v>Predominantly Rural</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Unitary</v>
      </c>
      <c r="AJ39" s="43">
        <f t="shared" si="5"/>
        <v>529.20000000000005</v>
      </c>
      <c r="AK39" s="40">
        <f>IF(AJ39="","",IF(I$8="A",(RANK(AJ39,AJ$11:AJ$343,1)+COUNTIF(AJ$11:AJ39,AJ39)-1),(RANK(AJ39,AJ$11:AJ$343)+COUNTIF(AJ$11:AJ39,AJ39)-1)))</f>
        <v>28</v>
      </c>
      <c r="AL39" s="3">
        <f t="shared" si="16"/>
        <v>29</v>
      </c>
      <c r="AM39" t="str">
        <f t="shared" si="6"/>
        <v>Telford &amp; Wrekin</v>
      </c>
      <c r="AN39">
        <f t="shared" si="7"/>
        <v>529.29999999999995</v>
      </c>
      <c r="AP39" s="5" t="str">
        <f>IF(L39="","",VLOOKUP($L39,classifications!$C:$E,3,FALSE))</f>
        <v>East Midlands</v>
      </c>
      <c r="AQ39" s="43" t="str">
        <f t="shared" si="17"/>
        <v/>
      </c>
      <c r="AR39" s="40" t="str">
        <f>IF(AQ39="","",IF(I$8="A",(RANK(AQ39,AQ$11:AQ$343,1)+COUNTIF(AQ$11:AQ39,AQ39)-1),(RANK(AQ39,AQ$11:AQ$343)+COUNTIF(AQ$11:AQ39,AQ39)-1)))</f>
        <v/>
      </c>
      <c r="AS39" s="3" t="str">
        <f t="shared" si="18"/>
        <v/>
      </c>
      <c r="AT39" s="40" t="str">
        <f t="shared" si="8"/>
        <v/>
      </c>
      <c r="AU39" s="43" t="str">
        <f t="shared" si="9"/>
        <v/>
      </c>
      <c r="AX39">
        <f>HLOOKUP($AX$9&amp;$AX$10,Data!$A$1:$ZZ$1980,(MATCH($C39,Data!$A$1:$A$1980,0)),FALSE)</f>
        <v>489.3</v>
      </c>
    </row>
    <row r="40" spans="1:50">
      <c r="A40" s="59" t="str">
        <f>$D$1&amp;30</f>
        <v>UA30</v>
      </c>
      <c r="B40" s="60">
        <f>IF(ISERROR(VLOOKUP(A40,classifications!A:C,3,FALSE)),0,VLOOKUP(A40,classifications!A:C,3,FALSE))</f>
        <v>0</v>
      </c>
      <c r="C40" t="s">
        <v>20</v>
      </c>
      <c r="D40" t="str">
        <f>VLOOKUP($C40,classifications!$C:$J,4,FALSE)</f>
        <v>SD</v>
      </c>
      <c r="E40">
        <f>VLOOKUP(C40,classifications!C:K,9,FALSE)</f>
        <v>0</v>
      </c>
      <c r="F40">
        <f t="shared" si="0"/>
        <v>495.4</v>
      </c>
      <c r="G40" s="15"/>
      <c r="H40" s="42" t="str">
        <f t="shared" si="1"/>
        <v/>
      </c>
      <c r="I40" s="79" t="str">
        <f>IF(H40="","",IF($I$8="A",(RANK(H40,H$11:H$343,1)+COUNTIF(H$11:H40,H40)-1),(RANK(H40,H$11:H$343)+COUNTIF(H$11:H40,H40)-1)))</f>
        <v/>
      </c>
      <c r="J40" s="41"/>
      <c r="K40" s="36">
        <f t="shared" si="10"/>
        <v>30</v>
      </c>
      <c r="L40" t="str">
        <f t="shared" si="2"/>
        <v>Telford &amp; Wrekin</v>
      </c>
      <c r="M40" s="117">
        <f t="shared" si="3"/>
        <v>529.29999999999995</v>
      </c>
      <c r="N40" s="112">
        <f t="shared" si="23"/>
        <v>529.29999999999995</v>
      </c>
      <c r="O40" s="96" t="str">
        <f t="shared" si="11"/>
        <v/>
      </c>
      <c r="P40" s="96" t="str">
        <f t="shared" si="19"/>
        <v/>
      </c>
      <c r="Q40" s="96">
        <f t="shared" si="20"/>
        <v>529.29999999999995</v>
      </c>
      <c r="R40" s="92" t="str">
        <f t="shared" si="21"/>
        <v/>
      </c>
      <c r="S40" s="42" t="str">
        <f t="shared" si="12"/>
        <v/>
      </c>
      <c r="T40" s="167">
        <f>IF(L40="","",VLOOKUP(L40,classifications!C:K,9,FALSE))</f>
        <v>0</v>
      </c>
      <c r="U40" s="168" t="str">
        <f t="shared" si="13"/>
        <v/>
      </c>
      <c r="V40" s="174" t="str">
        <f>IF(U40="","",IF($I$8="A",(RANK(U40,U$11:U$343)+COUNTIF(U$11:U40,U40)-1),(RANK(U40,U$11:U$343,1)+COUNTIF(U$11:U40,U40)-1)))</f>
        <v/>
      </c>
      <c r="W40" s="175"/>
      <c r="X40" s="5" t="str">
        <f>IF(L40="","",VLOOKUP($L40,classifications!$C:$J,6,FALSE))</f>
        <v>Urban with City and Town</v>
      </c>
      <c r="Y40" t="str">
        <f t="shared" si="4"/>
        <v/>
      </c>
      <c r="Z40" s="40" t="str">
        <f>IF(Y40="","",IF(I$8="A",(RANK(Y40,Y$11:Y$343,1)+COUNTIF(Y$11:Y40,Y40)-1),(RANK(Y40,Y$11:Y$343)+COUNTIF(Y$11:Y40,Y40)-1)))</f>
        <v/>
      </c>
      <c r="AA40" s="180" t="str">
        <f>IF(L40="","",VLOOKUP($L40,classifications!C:I,7,FALSE))</f>
        <v>Predominantly Urban</v>
      </c>
      <c r="AB40" s="174" t="str">
        <f t="shared" si="14"/>
        <v/>
      </c>
      <c r="AC40" s="174" t="str">
        <f>IF(AB40="","",IF($I$8="A",(RANK(AB40,AB$11:AB$343)+COUNTIF(AB$11:AB40,AB40)-1),(RANK(AB40,AB$11:AB$343,1)+COUNTIF(AB$11:AB40,AB40)-1)))</f>
        <v/>
      </c>
      <c r="AD40" s="174"/>
      <c r="AE40" s="36" t="str">
        <f t="shared" si="24"/>
        <v/>
      </c>
      <c r="AG40" s="15"/>
      <c r="AH40" s="3"/>
      <c r="AI40" s="5" t="str">
        <f>IF(L40="","",VLOOKUP($L40,classifications!$C:$J,8,FALSE))</f>
        <v>Unitary</v>
      </c>
      <c r="AJ40" s="43">
        <f t="shared" si="5"/>
        <v>529.29999999999995</v>
      </c>
      <c r="AK40" s="40">
        <f>IF(AJ40="","",IF(I$8="A",(RANK(AJ40,AJ$11:AJ$343,1)+COUNTIF(AJ$11:AJ40,AJ40)-1),(RANK(AJ40,AJ$11:AJ$343)+COUNTIF(AJ$11:AJ40,AJ40)-1)))</f>
        <v>29</v>
      </c>
      <c r="AL40" s="3">
        <f t="shared" si="16"/>
        <v>30</v>
      </c>
      <c r="AM40" t="str">
        <f t="shared" si="6"/>
        <v>Central Bedfordshire</v>
      </c>
      <c r="AN40">
        <f t="shared" si="7"/>
        <v>530</v>
      </c>
      <c r="AP40" s="5" t="str">
        <f>IF(L40="","",VLOOKUP($L40,classifications!$C:$E,3,FALSE))</f>
        <v>West Midlands</v>
      </c>
      <c r="AQ40" s="43" t="str">
        <f t="shared" si="17"/>
        <v/>
      </c>
      <c r="AR40" s="40" t="str">
        <f>IF(AQ40="","",IF(I$8="A",(RANK(AQ40,AQ$11:AQ$343,1)+COUNTIF(AQ$11:AQ40,AQ40)-1),(RANK(AQ40,AQ$11:AQ$343)+COUNTIF(AQ$11:AQ40,AQ40)-1)))</f>
        <v/>
      </c>
      <c r="AS40" s="3" t="str">
        <f t="shared" si="18"/>
        <v/>
      </c>
      <c r="AT40" s="40" t="str">
        <f t="shared" si="8"/>
        <v/>
      </c>
      <c r="AU40" s="43" t="str">
        <f t="shared" si="9"/>
        <v/>
      </c>
      <c r="AX40">
        <f>HLOOKUP($AX$9&amp;$AX$10,Data!$A$1:$ZZ$1980,(MATCH($C40,Data!$A$1:$A$1980,0)),FALSE)</f>
        <v>495.4</v>
      </c>
    </row>
    <row r="41" spans="1:50">
      <c r="A41" s="59" t="str">
        <f>$D$1&amp;31</f>
        <v>UA31</v>
      </c>
      <c r="B41" s="60">
        <f>IF(ISERROR(VLOOKUP(A41,classifications!A:C,3,FALSE)),0,VLOOKUP(A41,classifications!A:C,3,FALSE))</f>
        <v>0</v>
      </c>
      <c r="C41" t="s">
        <v>199</v>
      </c>
      <c r="D41" t="str">
        <f>VLOOKUP($C41,classifications!$C:$J,4,FALSE)</f>
        <v>L</v>
      </c>
      <c r="E41">
        <f>VLOOKUP(C41,classifications!C:K,9,FALSE)</f>
        <v>0</v>
      </c>
      <c r="F41">
        <f t="shared" si="0"/>
        <v>438.6</v>
      </c>
      <c r="G41" s="15"/>
      <c r="H41" s="42" t="str">
        <f t="shared" si="1"/>
        <v/>
      </c>
      <c r="I41" s="79" t="str">
        <f>IF(H41="","",IF($I$8="A",(RANK(H41,H$11:H$343,1)+COUNTIF(H$11:H41,H41)-1),(RANK(H41,H$11:H$343)+COUNTIF(H$11:H41,H41)-1)))</f>
        <v/>
      </c>
      <c r="J41" s="41"/>
      <c r="K41" s="36">
        <f t="shared" si="10"/>
        <v>31</v>
      </c>
      <c r="L41" t="str">
        <f t="shared" si="2"/>
        <v>Central Bedfordshire</v>
      </c>
      <c r="M41" s="117">
        <f t="shared" si="3"/>
        <v>530</v>
      </c>
      <c r="N41" s="112">
        <f t="shared" si="23"/>
        <v>530</v>
      </c>
      <c r="O41" s="96" t="str">
        <f t="shared" si="11"/>
        <v/>
      </c>
      <c r="P41" s="96" t="str">
        <f t="shared" si="19"/>
        <v/>
      </c>
      <c r="Q41" s="96">
        <f t="shared" si="20"/>
        <v>530</v>
      </c>
      <c r="R41" s="92" t="str">
        <f t="shared" si="21"/>
        <v/>
      </c>
      <c r="S41" s="42" t="str">
        <f t="shared" si="12"/>
        <v/>
      </c>
      <c r="T41" s="167">
        <f>IF(L41="","",VLOOKUP(L41,classifications!C:K,9,FALSE))</f>
        <v>0</v>
      </c>
      <c r="U41" s="168" t="str">
        <f t="shared" si="13"/>
        <v/>
      </c>
      <c r="V41" s="174" t="str">
        <f>IF(U41="","",IF($I$8="A",(RANK(U41,U$11:U$343)+COUNTIF(U$11:U41,U41)-1),(RANK(U41,U$11:U$343,1)+COUNTIF(U$11:U41,U41)-1)))</f>
        <v/>
      </c>
      <c r="W41" s="175"/>
      <c r="X41" s="5" t="str">
        <f>IF(L41="","",VLOOKUP($L41,classifications!$C:$J,6,FALSE))</f>
        <v xml:space="preserve">Largely Rural (rural including hub towns 50-79%) </v>
      </c>
      <c r="Y41">
        <f t="shared" si="4"/>
        <v>530</v>
      </c>
      <c r="Z41" s="40">
        <f>IF(Y41="","",IF(I$8="A",(RANK(Y41,Y$11:Y$343,1)+COUNTIF(Y$11:Y41,Y41)-1),(RANK(Y41,Y$11:Y$343)+COUNTIF(Y$11:Y41,Y41)-1)))</f>
        <v>13</v>
      </c>
      <c r="AA41" s="180" t="str">
        <f>IF(L41="","",VLOOKUP($L41,classifications!C:I,7,FALSE))</f>
        <v>Predominantly Rural</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Unitary</v>
      </c>
      <c r="AJ41" s="43">
        <f t="shared" si="5"/>
        <v>530</v>
      </c>
      <c r="AK41" s="40">
        <f>IF(AJ41="","",IF(I$8="A",(RANK(AJ41,AJ$11:AJ$343,1)+COUNTIF(AJ$11:AJ41,AJ41)-1),(RANK(AJ41,AJ$11:AJ$343)+COUNTIF(AJ$11:AJ41,AJ41)-1)))</f>
        <v>30</v>
      </c>
      <c r="AL41" s="3">
        <f t="shared" si="16"/>
        <v>31</v>
      </c>
      <c r="AM41" t="str">
        <f t="shared" si="6"/>
        <v>West Northamptonshire</v>
      </c>
      <c r="AN41">
        <f t="shared" si="7"/>
        <v>531.9</v>
      </c>
      <c r="AP41" s="5" t="str">
        <f>IF(L41="","",VLOOKUP($L41,classifications!$C:$E,3,FALSE))</f>
        <v>East of England</v>
      </c>
      <c r="AQ41" s="43" t="str">
        <f t="shared" si="17"/>
        <v/>
      </c>
      <c r="AR41" s="40" t="str">
        <f>IF(AQ41="","",IF(I$8="A",(RANK(AQ41,AQ$11:AQ$343,1)+COUNTIF(AQ$11:AQ41,AQ41)-1),(RANK(AQ41,AQ$11:AQ$343)+COUNTIF(AQ$11:AQ41,AQ41)-1)))</f>
        <v/>
      </c>
      <c r="AS41" s="3" t="str">
        <f t="shared" si="18"/>
        <v/>
      </c>
      <c r="AT41" s="40" t="str">
        <f t="shared" si="8"/>
        <v/>
      </c>
      <c r="AU41" s="43" t="str">
        <f t="shared" si="9"/>
        <v/>
      </c>
      <c r="AX41">
        <f>HLOOKUP($AX$9&amp;$AX$10,Data!$A$1:$ZZ$1980,(MATCH($C41,Data!$A$1:$A$1980,0)),FALSE)</f>
        <v>438.6</v>
      </c>
    </row>
    <row r="42" spans="1:50">
      <c r="A42" s="59" t="str">
        <f>$D$1&amp;32</f>
        <v>UA32</v>
      </c>
      <c r="B42" s="60">
        <f>IF(ISERROR(VLOOKUP(A42,classifications!A:C,3,FALSE)),0,VLOOKUP(A42,classifications!A:C,3,FALSE))</f>
        <v>0</v>
      </c>
      <c r="C42" t="s">
        <v>21</v>
      </c>
      <c r="D42" t="str">
        <f>VLOOKUP($C42,classifications!$C:$J,4,FALSE)</f>
        <v>SD</v>
      </c>
      <c r="E42">
        <f>VLOOKUP(C42,classifications!C:K,9,FALSE)</f>
        <v>0</v>
      </c>
      <c r="F42">
        <f t="shared" si="0"/>
        <v>499.5</v>
      </c>
      <c r="G42" s="15"/>
      <c r="H42" s="42" t="str">
        <f t="shared" si="1"/>
        <v/>
      </c>
      <c r="I42" s="79" t="str">
        <f>IF(H42="","",IF($I$8="A",(RANK(H42,H$11:H$343,1)+COUNTIF(H$11:H42,H42)-1),(RANK(H42,H$11:H$343)+COUNTIF(H$11:H42,H42)-1)))</f>
        <v/>
      </c>
      <c r="J42" s="41"/>
      <c r="K42" s="36">
        <f t="shared" si="10"/>
        <v>32</v>
      </c>
      <c r="L42" t="str">
        <f t="shared" si="2"/>
        <v>West Northamptonshire</v>
      </c>
      <c r="M42" s="117">
        <f t="shared" si="3"/>
        <v>531.9</v>
      </c>
      <c r="N42" s="112">
        <f t="shared" si="23"/>
        <v>531.9</v>
      </c>
      <c r="O42" s="96" t="str">
        <f t="shared" si="11"/>
        <v/>
      </c>
      <c r="P42" s="96" t="str">
        <f t="shared" si="19"/>
        <v/>
      </c>
      <c r="Q42" s="96">
        <f t="shared" si="20"/>
        <v>531.9</v>
      </c>
      <c r="R42" s="92" t="str">
        <f t="shared" si="21"/>
        <v/>
      </c>
      <c r="S42" s="42" t="str">
        <f t="shared" si="12"/>
        <v/>
      </c>
      <c r="T42" s="167" t="str">
        <f>IF(L42="","",VLOOKUP(L42,classifications!C:K,9,FALSE))</f>
        <v>Sparse</v>
      </c>
      <c r="U42" s="168">
        <f t="shared" si="13"/>
        <v>531.9</v>
      </c>
      <c r="V42" s="174">
        <f>IF(U42="","",IF($I$8="A",(RANK(U42,U$11:U$343)+COUNTIF(U$11:U42,U42)-1),(RANK(U42,U$11:U$343,1)+COUNTIF(U$11:U42,U42)-1)))</f>
        <v>4</v>
      </c>
      <c r="W42" s="175"/>
      <c r="X42" s="5" t="str">
        <f>IF(L42="","",VLOOKUP($L42,classifications!$C:$J,6,FALSE))</f>
        <v>Urban with Significant Rural (rural including hub towns 26-49%)</v>
      </c>
      <c r="Y42">
        <f t="shared" si="4"/>
        <v>531.9</v>
      </c>
      <c r="Z42" s="40">
        <f>IF(Y42="","",IF(I$8="A",(RANK(Y42,Y$11:Y$343,1)+COUNTIF(Y$11:Y42,Y42)-1),(RANK(Y42,Y$11:Y$343)+COUNTIF(Y$11:Y42,Y42)-1)))</f>
        <v>14</v>
      </c>
      <c r="AA42" s="180" t="str">
        <f>IF(L42="","",VLOOKUP($L42,classifications!C:I,7,FALSE))</f>
        <v>Significant Rural</v>
      </c>
      <c r="AB42" s="174">
        <f t="shared" si="14"/>
        <v>531.9</v>
      </c>
      <c r="AC42" s="174">
        <f>IF(AB42="","",IF($I$8="A",(RANK(AB42,AB$11:AB$343)+COUNTIF(AB$11:AB42,AB42)-1),(RANK(AB42,AB$11:AB$343,1)+COUNTIF(AB$11:AB42,AB42)-1)))</f>
        <v>3</v>
      </c>
      <c r="AD42" s="174"/>
      <c r="AE42" s="36" t="str">
        <f t="shared" si="24"/>
        <v/>
      </c>
      <c r="AG42" s="15"/>
      <c r="AH42" s="3"/>
      <c r="AI42" s="5" t="str">
        <f>IF(L42="","",VLOOKUP($L42,classifications!$C:$J,8,FALSE))</f>
        <v>Unitary</v>
      </c>
      <c r="AJ42" s="43">
        <f t="shared" si="5"/>
        <v>531.9</v>
      </c>
      <c r="AK42" s="40">
        <f>IF(AJ42="","",IF(I$8="A",(RANK(AJ42,AJ$11:AJ$343,1)+COUNTIF(AJ$11:AJ42,AJ42)-1),(RANK(AJ42,AJ$11:AJ$343)+COUNTIF(AJ$11:AJ42,AJ42)-1)))</f>
        <v>31</v>
      </c>
      <c r="AL42" s="3">
        <f t="shared" si="16"/>
        <v>32</v>
      </c>
      <c r="AM42" t="str">
        <f t="shared" si="6"/>
        <v>Derby</v>
      </c>
      <c r="AN42">
        <f t="shared" si="7"/>
        <v>534.9</v>
      </c>
      <c r="AP42" s="5" t="str">
        <f>IF(L42="","",VLOOKUP($L42,classifications!$C:$E,3,FALSE))</f>
        <v>East Midlands</v>
      </c>
      <c r="AQ42" s="43" t="str">
        <f t="shared" si="17"/>
        <v/>
      </c>
      <c r="AR42" s="40" t="str">
        <f>IF(AQ42="","",IF(I$8="A",(RANK(AQ42,AQ$11:AQ$343,1)+COUNTIF(AQ$11:AQ42,AQ42)-1),(RANK(AQ42,AQ$11:AQ$343)+COUNTIF(AQ$11:AQ42,AQ42)-1)))</f>
        <v/>
      </c>
      <c r="AS42" s="3" t="str">
        <f t="shared" si="18"/>
        <v/>
      </c>
      <c r="AT42" s="40" t="str">
        <f t="shared" si="8"/>
        <v/>
      </c>
      <c r="AU42" s="43" t="str">
        <f t="shared" si="9"/>
        <v/>
      </c>
      <c r="AX42">
        <f>HLOOKUP($AX$9&amp;$AX$10,Data!$A$1:$ZZ$1980,(MATCH($C42,Data!$A$1:$A$1980,0)),FALSE)</f>
        <v>499.5</v>
      </c>
    </row>
    <row r="43" spans="1:50">
      <c r="A43" s="59" t="str">
        <f>$D$1&amp;33</f>
        <v>UA33</v>
      </c>
      <c r="B43" s="60">
        <f>IF(ISERROR(VLOOKUP(A43,classifications!A:C,3,FALSE)),0,VLOOKUP(A43,classifications!A:C,3,FALSE))</f>
        <v>0</v>
      </c>
      <c r="C43" t="s">
        <v>813</v>
      </c>
      <c r="D43" t="str">
        <f>VLOOKUP($C43,classifications!$C:$J,4,FALSE)</f>
        <v>UA</v>
      </c>
      <c r="E43">
        <f>VLOOKUP(C43,classifications!C:K,9,FALSE)</f>
        <v>0</v>
      </c>
      <c r="F43">
        <f t="shared" ref="F43:F74" si="25">HLOOKUP($D$6,AX$10:ZX$355,ROW()-9,FALSE)</f>
        <v>546.6</v>
      </c>
      <c r="G43" s="15"/>
      <c r="H43" s="42">
        <f t="shared" ref="H43:H74" si="26">IF(D43=$D$1,HLOOKUP($D$6,$AX$10:$ZZ$355,ROW()-9,FALSE),"")</f>
        <v>546.6</v>
      </c>
      <c r="I43" s="79">
        <f>IF(H43="","",IF($I$8="A",(RANK(H43,H$11:H$343,1)+COUNTIF(H$11:H43,H43)-1),(RANK(H43,H$11:H$343)+COUNTIF(H$11:H43,H43)-1)))</f>
        <v>36</v>
      </c>
      <c r="J43" s="41"/>
      <c r="K43" s="36">
        <f t="shared" si="10"/>
        <v>33</v>
      </c>
      <c r="L43" t="str">
        <f t="shared" ref="L43:L74" si="27">IF(K43="","",INDEX(C$11:C$343,MATCH(K43,I$11:I$343,0)))</f>
        <v>Derby</v>
      </c>
      <c r="M43" s="117">
        <f t="shared" ref="M43:M74" si="28">IF(L43="","",IF(VLOOKUP(L43,C:D,2,FALSE)=$F$3,VLOOKUP(L43,C:H,6,FALSE),""))</f>
        <v>534.9</v>
      </c>
      <c r="N43" s="112">
        <f t="shared" si="23"/>
        <v>534.9</v>
      </c>
      <c r="O43" s="96" t="str">
        <f t="shared" si="11"/>
        <v/>
      </c>
      <c r="P43" s="96" t="str">
        <f t="shared" si="19"/>
        <v/>
      </c>
      <c r="Q43" s="96">
        <f t="shared" si="20"/>
        <v>534.9</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Urban with City and Town</v>
      </c>
      <c r="Y43" t="str">
        <f t="shared" si="4"/>
        <v/>
      </c>
      <c r="Z43" s="40" t="str">
        <f>IF(Y43="","",IF(I$8="A",(RANK(Y43,Y$11:Y$343,1)+COUNTIF(Y$11:Y43,Y43)-1),(RANK(Y43,Y$11:Y$343)+COUNTIF(Y$11:Y43,Y43)-1)))</f>
        <v/>
      </c>
      <c r="AA43" s="180" t="str">
        <f>IF(L43="","",VLOOKUP($L43,classifications!C:I,7,FALSE))</f>
        <v>Predominantly Urban</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Unitary</v>
      </c>
      <c r="AJ43" s="43">
        <f t="shared" si="5"/>
        <v>534.9</v>
      </c>
      <c r="AK43" s="40">
        <f>IF(AJ43="","",IF(I$8="A",(RANK(AJ43,AJ$11:AJ$343,1)+COUNTIF(AJ$11:AJ43,AJ43)-1),(RANK(AJ43,AJ$11:AJ$343)+COUNTIF(AJ$11:AJ43,AJ43)-1)))</f>
        <v>32</v>
      </c>
      <c r="AL43" s="3">
        <f t="shared" si="16"/>
        <v>33</v>
      </c>
      <c r="AM43" t="str">
        <f t="shared" ref="AM43:AM74" si="30">IF(ISNA(IF(AL43="","",INDEX(L$11:L$343,MATCH(AL43,AK$11:AK$343,0)))),"",(IF(AL43="","",INDEX(L$11:L$343,MATCH(AL43,AK$11:AK$343,0)))))</f>
        <v>Portsmouth</v>
      </c>
      <c r="AN43">
        <f t="shared" ref="AN43:AN74" si="31">(VLOOKUP(AM43,L:M,2,FALSE))</f>
        <v>536.9</v>
      </c>
      <c r="AP43" s="5" t="str">
        <f>IF(L43="","",VLOOKUP($L43,classifications!$C:$E,3,FALSE))</f>
        <v>East Midlands</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f>HLOOKUP($AX$9&amp;$AX$10,Data!$A$1:$ZZ$1980,(MATCH($C43,Data!$A$1:$A$1980,0)),FALSE)</f>
        <v>546.6</v>
      </c>
    </row>
    <row r="44" spans="1:50">
      <c r="A44" s="59" t="str">
        <f>$D$1&amp;34</f>
        <v>UA34</v>
      </c>
      <c r="B44" s="60">
        <f>IF(ISERROR(VLOOKUP(A44,classifications!A:C,3,FALSE)),0,VLOOKUP(A44,classifications!A:C,3,FALSE))</f>
        <v>0</v>
      </c>
      <c r="C44" t="s">
        <v>817</v>
      </c>
      <c r="D44" t="str">
        <f>VLOOKUP($C44,classifications!$C:$J,4,FALSE)</f>
        <v>UA</v>
      </c>
      <c r="E44">
        <f>VLOOKUP(C44,classifications!C:K,9,FALSE)</f>
        <v>0</v>
      </c>
      <c r="F44">
        <f t="shared" si="25"/>
        <v>404.8</v>
      </c>
      <c r="G44" s="15"/>
      <c r="H44" s="42">
        <f t="shared" si="26"/>
        <v>404.8</v>
      </c>
      <c r="I44" s="79">
        <f>IF(H44="","",IF($I$8="A",(RANK(H44,H$11:H$343,1)+COUNTIF(H$11:H44,H44)-1),(RANK(H44,H$11:H$343)+COUNTIF(H$11:H44,H44)-1)))</f>
        <v>8</v>
      </c>
      <c r="J44" s="41"/>
      <c r="K44" s="36">
        <f t="shared" ref="K44:K75" si="34">IF(K43="","",IF(K43+1&gt;(COUNT(H$11:H$343)),"",K43+1))</f>
        <v>34</v>
      </c>
      <c r="L44" t="str">
        <f t="shared" si="27"/>
        <v>Portsmouth</v>
      </c>
      <c r="M44" s="117">
        <f t="shared" si="28"/>
        <v>536.9</v>
      </c>
      <c r="N44" s="112">
        <f t="shared" si="23"/>
        <v>536.9</v>
      </c>
      <c r="O44" s="96" t="str">
        <f t="shared" si="11"/>
        <v/>
      </c>
      <c r="P44" s="96" t="str">
        <f t="shared" si="19"/>
        <v/>
      </c>
      <c r="Q44" s="96">
        <f t="shared" si="20"/>
        <v>536.9</v>
      </c>
      <c r="R44" s="92" t="str">
        <f t="shared" si="21"/>
        <v/>
      </c>
      <c r="S44" s="42" t="str">
        <f t="shared" si="12"/>
        <v/>
      </c>
      <c r="T44" s="167">
        <f>IF(L44="","",VLOOKUP(L44,classifications!C:K,9,FALSE))</f>
        <v>0</v>
      </c>
      <c r="U44" s="168" t="str">
        <f t="shared" si="29"/>
        <v/>
      </c>
      <c r="V44" s="174" t="str">
        <f>IF(U44="","",IF($I$8="A",(RANK(U44,U$11:U$343)+COUNTIF(U$11:U44,U44)-1),(RANK(U44,U$11:U$343,1)+COUNTIF(U$11:U44,U44)-1)))</f>
        <v/>
      </c>
      <c r="W44" s="175"/>
      <c r="X44" s="5" t="str">
        <f>IF(L44="","",VLOOKUP($L44,classifications!$C:$J,6,FALSE))</f>
        <v>Urban with City and Town</v>
      </c>
      <c r="Y44" t="str">
        <f t="shared" si="4"/>
        <v/>
      </c>
      <c r="Z44" s="40" t="str">
        <f>IF(Y44="","",IF(I$8="A",(RANK(Y44,Y$11:Y$343,1)+COUNTIF(Y$11:Y44,Y44)-1),(RANK(Y44,Y$11:Y$343)+COUNTIF(Y$11:Y44,Y44)-1)))</f>
        <v/>
      </c>
      <c r="AA44" s="180" t="str">
        <f>IF(L44="","",VLOOKUP($L44,classifications!C:I,7,FALSE))</f>
        <v>Predominantly Urban</v>
      </c>
      <c r="AB44" s="174" t="str">
        <f t="shared" si="14"/>
        <v/>
      </c>
      <c r="AC44" s="174" t="str">
        <f>IF(AB44="","",IF($I$8="A",(RANK(AB44,AB$11:AB$343)+COUNTIF(AB$11:AB44,AB44)-1),(RANK(AB44,AB$11:AB$343,1)+COUNTIF(AB$11:AB44,AB44)-1)))</f>
        <v/>
      </c>
      <c r="AD44" s="174"/>
      <c r="AE44" s="36" t="str">
        <f t="shared" si="24"/>
        <v/>
      </c>
      <c r="AG44" s="15"/>
      <c r="AH44" s="3"/>
      <c r="AI44" s="5" t="str">
        <f>IF(L44="","",VLOOKUP($L44,classifications!$C:$J,8,FALSE))</f>
        <v>Unitary</v>
      </c>
      <c r="AJ44" s="43">
        <f t="shared" si="5"/>
        <v>536.9</v>
      </c>
      <c r="AK44" s="40">
        <f>IF(AJ44="","",IF(I$8="A",(RANK(AJ44,AJ$11:AJ$343,1)+COUNTIF(AJ$11:AJ44,AJ44)-1),(RANK(AJ44,AJ$11:AJ$343)+COUNTIF(AJ$11:AJ44,AJ44)-1)))</f>
        <v>33</v>
      </c>
      <c r="AL44" s="3">
        <f t="shared" ref="AL44:AL75" si="35">IF(AL43="","",IF(AL43+1&gt;(COUNT(AJ$11:AJ$343)),"",AL43+1))</f>
        <v>34</v>
      </c>
      <c r="AM44" t="str">
        <f t="shared" si="30"/>
        <v>Wiltshire</v>
      </c>
      <c r="AN44">
        <f t="shared" si="31"/>
        <v>542.4</v>
      </c>
      <c r="AP44" s="5" t="str">
        <f>IF(L44="","",VLOOKUP($L44,classifications!$C:$E,3,FALSE))</f>
        <v>South East</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404.8</v>
      </c>
    </row>
    <row r="45" spans="1:50">
      <c r="A45" s="59" t="str">
        <f>$D$1&amp;35</f>
        <v>UA35</v>
      </c>
      <c r="B45" s="60">
        <f>IF(ISERROR(VLOOKUP(A45,classifications!A:C,3,FALSE)),0,VLOOKUP(A45,classifications!A:C,3,FALSE))</f>
        <v>0</v>
      </c>
      <c r="C45" t="s">
        <v>22</v>
      </c>
      <c r="D45" t="str">
        <f>VLOOKUP($C45,classifications!$C:$J,4,FALSE)</f>
        <v>SD</v>
      </c>
      <c r="E45">
        <f>VLOOKUP(C45,classifications!C:K,9,FALSE)</f>
        <v>0</v>
      </c>
      <c r="F45">
        <f t="shared" si="25"/>
        <v>397.6</v>
      </c>
      <c r="G45" s="15"/>
      <c r="H45" s="42" t="str">
        <f t="shared" si="26"/>
        <v/>
      </c>
      <c r="I45" s="79" t="str">
        <f>IF(H45="","",IF($I$8="A",(RANK(H45,H$11:H$343,1)+COUNTIF(H$11:H45,H45)-1),(RANK(H45,H$11:H$343)+COUNTIF(H$11:H45,H45)-1)))</f>
        <v/>
      </c>
      <c r="J45" s="41"/>
      <c r="K45" s="36">
        <f t="shared" si="34"/>
        <v>35</v>
      </c>
      <c r="L45" t="str">
        <f t="shared" si="27"/>
        <v>Wiltshire</v>
      </c>
      <c r="M45" s="117">
        <f t="shared" si="28"/>
        <v>542.4</v>
      </c>
      <c r="N45" s="112">
        <f t="shared" si="23"/>
        <v>542.4</v>
      </c>
      <c r="O45" s="96" t="str">
        <f t="shared" si="11"/>
        <v/>
      </c>
      <c r="P45" s="96" t="str">
        <f t="shared" si="19"/>
        <v/>
      </c>
      <c r="Q45" s="96">
        <f t="shared" si="20"/>
        <v>542.4</v>
      </c>
      <c r="R45" s="92" t="str">
        <f t="shared" si="21"/>
        <v/>
      </c>
      <c r="S45" s="42" t="str">
        <f t="shared" si="12"/>
        <v/>
      </c>
      <c r="T45" s="167">
        <f>IF(L45="","",VLOOKUP(L45,classifications!C:K,9,FALSE))</f>
        <v>0</v>
      </c>
      <c r="U45" s="168" t="str">
        <f t="shared" si="29"/>
        <v/>
      </c>
      <c r="V45" s="174" t="str">
        <f>IF(U45="","",IF($I$8="A",(RANK(U45,U$11:U$343)+COUNTIF(U$11:U45,U45)-1),(RANK(U45,U$11:U$343,1)+COUNTIF(U$11:U45,U45)-1)))</f>
        <v/>
      </c>
      <c r="W45" s="175"/>
      <c r="X45" s="5" t="str">
        <f>IF(L45="","",VLOOKUP($L45,classifications!$C:$J,6,FALSE))</f>
        <v xml:space="preserve">Largely Rural (rural including hub towns 50-79%) </v>
      </c>
      <c r="Y45">
        <f t="shared" si="4"/>
        <v>542.4</v>
      </c>
      <c r="Z45" s="40">
        <f>IF(Y45="","",IF(I$8="A",(RANK(Y45,Y$11:Y$343,1)+COUNTIF(Y$11:Y45,Y45)-1),(RANK(Y45,Y$11:Y$343)+COUNTIF(Y$11:Y45,Y45)-1)))</f>
        <v>15</v>
      </c>
      <c r="AA45" s="180" t="str">
        <f>IF(L45="","",VLOOKUP($L45,classifications!C:I,7,FALSE))</f>
        <v>Predominantly Rural</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Unitary</v>
      </c>
      <c r="AJ45" s="43">
        <f t="shared" si="5"/>
        <v>542.4</v>
      </c>
      <c r="AK45" s="40">
        <f>IF(AJ45="","",IF(I$8="A",(RANK(AJ45,AJ$11:AJ$343,1)+COUNTIF(AJ$11:AJ45,AJ45)-1),(RANK(AJ45,AJ$11:AJ$343)+COUNTIF(AJ$11:AJ45,AJ45)-1)))</f>
        <v>34</v>
      </c>
      <c r="AL45" s="3">
        <f t="shared" si="35"/>
        <v>35</v>
      </c>
      <c r="AM45" t="str">
        <f t="shared" si="30"/>
        <v>Brighton &amp; Hove</v>
      </c>
      <c r="AN45">
        <f t="shared" si="31"/>
        <v>546.6</v>
      </c>
      <c r="AP45" s="5" t="str">
        <f>IF(L45="","",VLOOKUP($L45,classifications!$C:$E,3,FALSE))</f>
        <v>South West</v>
      </c>
      <c r="AQ45" s="43" t="str">
        <f t="shared" si="17"/>
        <v/>
      </c>
      <c r="AR45" s="40" t="str">
        <f>IF(AQ45="","",IF(I$8="A",(RANK(AQ45,AQ$11:AQ$343,1)+COUNTIF(AQ$11:AQ45,AQ45)-1),(RANK(AQ45,AQ$11:AQ$343)+COUNTIF(AQ$11:AQ45,AQ45)-1)))</f>
        <v/>
      </c>
      <c r="AS45" s="3" t="str">
        <f t="shared" si="36"/>
        <v/>
      </c>
      <c r="AT45" s="40" t="str">
        <f t="shared" si="32"/>
        <v/>
      </c>
      <c r="AU45" s="43" t="str">
        <f t="shared" si="33"/>
        <v/>
      </c>
      <c r="AX45">
        <f>HLOOKUP($AX$9&amp;$AX$10,Data!$A$1:$ZZ$1980,(MATCH($C45,Data!$A$1:$A$1980,0)),FALSE)</f>
        <v>397.6</v>
      </c>
    </row>
    <row r="46" spans="1:50">
      <c r="A46" s="59" t="str">
        <f>$D$1&amp;36</f>
        <v>UA36</v>
      </c>
      <c r="B46" s="60">
        <f>IF(ISERROR(VLOOKUP(A46,classifications!A:C,3,FALSE)),0,VLOOKUP(A46,classifications!A:C,3,FALSE))</f>
        <v>0</v>
      </c>
      <c r="C46" t="s">
        <v>200</v>
      </c>
      <c r="D46" t="str">
        <f>VLOOKUP($C46,classifications!$C:$J,4,FALSE)</f>
        <v>L</v>
      </c>
      <c r="E46">
        <f>VLOOKUP(C46,classifications!C:K,9,FALSE)</f>
        <v>0</v>
      </c>
      <c r="F46">
        <f t="shared" si="25"/>
        <v>434.9</v>
      </c>
      <c r="G46" s="15"/>
      <c r="H46" s="42" t="str">
        <f t="shared" si="26"/>
        <v/>
      </c>
      <c r="I46" s="79" t="str">
        <f>IF(H46="","",IF($I$8="A",(RANK(H46,H$11:H$343,1)+COUNTIF(H$11:H46,H46)-1),(RANK(H46,H$11:H$343)+COUNTIF(H$11:H46,H46)-1)))</f>
        <v/>
      </c>
      <c r="J46" s="41"/>
      <c r="K46" s="36">
        <f t="shared" si="34"/>
        <v>36</v>
      </c>
      <c r="L46" t="str">
        <f t="shared" si="27"/>
        <v>Brighton &amp; Hove</v>
      </c>
      <c r="M46" s="117">
        <f t="shared" si="28"/>
        <v>546.6</v>
      </c>
      <c r="N46" s="112">
        <f t="shared" si="23"/>
        <v>546.6</v>
      </c>
      <c r="O46" s="96" t="str">
        <f t="shared" si="11"/>
        <v/>
      </c>
      <c r="P46" s="96" t="str">
        <f t="shared" si="19"/>
        <v/>
      </c>
      <c r="Q46" s="96">
        <f t="shared" si="20"/>
        <v>546.6</v>
      </c>
      <c r="R46" s="92" t="str">
        <f t="shared" si="21"/>
        <v/>
      </c>
      <c r="S46" s="42" t="str">
        <f t="shared" si="12"/>
        <v/>
      </c>
      <c r="T46" s="167">
        <f>IF(L46="","",VLOOKUP(L46,classifications!C:K,9,FALSE))</f>
        <v>0</v>
      </c>
      <c r="U46" s="168" t="str">
        <f t="shared" si="29"/>
        <v/>
      </c>
      <c r="V46" s="174" t="str">
        <f>IF(U46="","",IF($I$8="A",(RANK(U46,U$11:U$343)+COUNTIF(U$11:U46,U46)-1),(RANK(U46,U$11:U$343,1)+COUNTIF(U$11:U46,U46)-1)))</f>
        <v/>
      </c>
      <c r="W46" s="175"/>
      <c r="X46" s="5" t="str">
        <f>IF(L46="","",VLOOKUP($L46,classifications!$C:$J,6,FALSE))</f>
        <v>Urban with City and Town</v>
      </c>
      <c r="Y46" t="str">
        <f t="shared" si="4"/>
        <v/>
      </c>
      <c r="Z46" s="40" t="str">
        <f>IF(Y46="","",IF(I$8="A",(RANK(Y46,Y$11:Y$343,1)+COUNTIF(Y$11:Y46,Y46)-1),(RANK(Y46,Y$11:Y$343)+COUNTIF(Y$11:Y46,Y46)-1)))</f>
        <v/>
      </c>
      <c r="AA46" s="180" t="str">
        <f>IF(L46="","",VLOOKUP($L46,classifications!C:I,7,FALSE))</f>
        <v>Predominantly Urban</v>
      </c>
      <c r="AB46" s="174" t="str">
        <f t="shared" si="14"/>
        <v/>
      </c>
      <c r="AC46" s="174" t="str">
        <f>IF(AB46="","",IF($I$8="A",(RANK(AB46,AB$11:AB$343)+COUNTIF(AB$11:AB46,AB46)-1),(RANK(AB46,AB$11:AB$343,1)+COUNTIF(AB$11:AB46,AB46)-1)))</f>
        <v/>
      </c>
      <c r="AD46" s="174"/>
      <c r="AE46" s="36" t="str">
        <f t="shared" si="24"/>
        <v/>
      </c>
      <c r="AG46" s="15"/>
      <c r="AH46" s="3"/>
      <c r="AI46" s="5" t="str">
        <f>IF(L46="","",VLOOKUP($L46,classifications!$C:$J,8,FALSE))</f>
        <v>Unitary</v>
      </c>
      <c r="AJ46" s="43">
        <f t="shared" si="5"/>
        <v>546.6</v>
      </c>
      <c r="AK46" s="40">
        <f>IF(AJ46="","",IF(I$8="A",(RANK(AJ46,AJ$11:AJ$343,1)+COUNTIF(AJ$11:AJ46,AJ46)-1),(RANK(AJ46,AJ$11:AJ$343)+COUNTIF(AJ$11:AJ46,AJ46)-1)))</f>
        <v>35</v>
      </c>
      <c r="AL46" s="3">
        <f t="shared" si="35"/>
        <v>36</v>
      </c>
      <c r="AM46" t="str">
        <f t="shared" si="30"/>
        <v>Peterborough</v>
      </c>
      <c r="AN46">
        <f t="shared" si="31"/>
        <v>549.70000000000005</v>
      </c>
      <c r="AP46" s="5" t="str">
        <f>IF(L46="","",VLOOKUP($L46,classifications!$C:$E,3,FALSE))</f>
        <v>South East</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434.9</v>
      </c>
    </row>
    <row r="47" spans="1:50">
      <c r="A47" s="59" t="str">
        <f>$D$1&amp;37</f>
        <v>UA37</v>
      </c>
      <c r="B47" s="60">
        <f>IF(ISERROR(VLOOKUP(A47,classifications!A:C,3,FALSE)),0,VLOOKUP(A47,classifications!A:C,3,FALSE))</f>
        <v>0</v>
      </c>
      <c r="C47" t="s">
        <v>23</v>
      </c>
      <c r="D47" t="str">
        <f>VLOOKUP($C47,classifications!$C:$J,4,FALSE)</f>
        <v>SD</v>
      </c>
      <c r="E47">
        <f>VLOOKUP(C47,classifications!C:K,9,FALSE)</f>
        <v>0</v>
      </c>
      <c r="F47">
        <f t="shared" si="25"/>
        <v>501.5</v>
      </c>
      <c r="G47" s="15"/>
      <c r="H47" s="42" t="str">
        <f t="shared" si="26"/>
        <v/>
      </c>
      <c r="I47" s="79" t="str">
        <f>IF(H47="","",IF($I$8="A",(RANK(H47,H$11:H$343,1)+COUNTIF(H$11:H47,H47)-1),(RANK(H47,H$11:H$343)+COUNTIF(H$11:H47,H47)-1)))</f>
        <v/>
      </c>
      <c r="J47" s="41"/>
      <c r="K47" s="36">
        <f t="shared" si="34"/>
        <v>37</v>
      </c>
      <c r="L47" t="str">
        <f t="shared" si="27"/>
        <v>Peterborough</v>
      </c>
      <c r="M47" s="117">
        <f t="shared" si="28"/>
        <v>549.70000000000005</v>
      </c>
      <c r="N47" s="112">
        <f t="shared" si="23"/>
        <v>549.70000000000005</v>
      </c>
      <c r="O47" s="96" t="str">
        <f t="shared" si="11"/>
        <v/>
      </c>
      <c r="P47" s="96" t="str">
        <f t="shared" si="19"/>
        <v/>
      </c>
      <c r="Q47" s="96">
        <f t="shared" si="20"/>
        <v>549.70000000000005</v>
      </c>
      <c r="R47" s="92" t="str">
        <f t="shared" si="21"/>
        <v/>
      </c>
      <c r="S47" s="42" t="str">
        <f t="shared" si="12"/>
        <v/>
      </c>
      <c r="T47" s="167">
        <f>IF(L47="","",VLOOKUP(L47,classifications!C:K,9,FALSE))</f>
        <v>0</v>
      </c>
      <c r="U47" s="168" t="str">
        <f t="shared" si="29"/>
        <v/>
      </c>
      <c r="V47" s="174" t="str">
        <f>IF(U47="","",IF($I$8="A",(RANK(U47,U$11:U$343)+COUNTIF(U$11:U47,U47)-1),(RANK(U47,U$11:U$343,1)+COUNTIF(U$11:U47,U47)-1)))</f>
        <v/>
      </c>
      <c r="W47" s="175"/>
      <c r="X47" s="5" t="str">
        <f>IF(L47="","",VLOOKUP($L47,classifications!$C:$J,6,FALSE))</f>
        <v>Urban with City and Town</v>
      </c>
      <c r="Y47" t="str">
        <f t="shared" si="4"/>
        <v/>
      </c>
      <c r="Z47" s="40" t="str">
        <f>IF(Y47="","",IF(I$8="A",(RANK(Y47,Y$11:Y$343,1)+COUNTIF(Y$11:Y47,Y47)-1),(RANK(Y47,Y$11:Y$343)+COUNTIF(Y$11:Y47,Y47)-1)))</f>
        <v/>
      </c>
      <c r="AA47" s="180" t="str">
        <f>IF(L47="","",VLOOKUP($L47,classifications!C:I,7,FALSE))</f>
        <v>Predominantly Urban</v>
      </c>
      <c r="AB47" s="174" t="str">
        <f t="shared" si="14"/>
        <v/>
      </c>
      <c r="AC47" s="174" t="str">
        <f>IF(AB47="","",IF($I$8="A",(RANK(AB47,AB$11:AB$343)+COUNTIF(AB$11:AB47,AB47)-1),(RANK(AB47,AB$11:AB$343,1)+COUNTIF(AB$11:AB47,AB47)-1)))</f>
        <v/>
      </c>
      <c r="AD47" s="174"/>
      <c r="AE47" s="36" t="str">
        <f t="shared" si="24"/>
        <v/>
      </c>
      <c r="AG47" s="15"/>
      <c r="AH47" s="3"/>
      <c r="AI47" s="5" t="str">
        <f>IF(L47="","",VLOOKUP($L47,classifications!$C:$J,8,FALSE))</f>
        <v>Unitary</v>
      </c>
      <c r="AJ47" s="43">
        <f t="shared" si="5"/>
        <v>549.70000000000005</v>
      </c>
      <c r="AK47" s="40">
        <f>IF(AJ47="","",IF(I$8="A",(RANK(AJ47,AJ$11:AJ$343,1)+COUNTIF(AJ$11:AJ47,AJ47)-1),(RANK(AJ47,AJ$11:AJ$343)+COUNTIF(AJ$11:AJ47,AJ47)-1)))</f>
        <v>36</v>
      </c>
      <c r="AL47" s="3">
        <f t="shared" si="35"/>
        <v>37</v>
      </c>
      <c r="AM47" t="str">
        <f t="shared" si="30"/>
        <v>Plymouth</v>
      </c>
      <c r="AN47">
        <f t="shared" si="31"/>
        <v>551.79999999999995</v>
      </c>
      <c r="AP47" s="5" t="str">
        <f>IF(L47="","",VLOOKUP($L47,classifications!$C:$E,3,FALSE))</f>
        <v>East of England</v>
      </c>
      <c r="AQ47" s="43" t="str">
        <f t="shared" si="17"/>
        <v/>
      </c>
      <c r="AR47" s="40" t="str">
        <f>IF(AQ47="","",IF(I$8="A",(RANK(AQ47,AQ$11:AQ$343,1)+COUNTIF(AQ$11:AQ47,AQ47)-1),(RANK(AQ47,AQ$11:AQ$343)+COUNTIF(AQ$11:AQ47,AQ47)-1)))</f>
        <v/>
      </c>
      <c r="AS47" s="3" t="str">
        <f t="shared" si="36"/>
        <v/>
      </c>
      <c r="AT47" s="40" t="str">
        <f t="shared" si="32"/>
        <v/>
      </c>
      <c r="AU47" s="43" t="str">
        <f t="shared" si="33"/>
        <v/>
      </c>
      <c r="AX47">
        <f>HLOOKUP($AX$9&amp;$AX$10,Data!$A$1:$ZZ$1980,(MATCH($C47,Data!$A$1:$A$1980,0)),FALSE)</f>
        <v>501.5</v>
      </c>
    </row>
    <row r="48" spans="1:50">
      <c r="A48" s="59" t="str">
        <f>$D$1&amp;38</f>
        <v>UA38</v>
      </c>
      <c r="B48" s="60">
        <f>IF(ISERROR(VLOOKUP(A48,classifications!A:C,3,FALSE)),0,VLOOKUP(A48,classifications!A:C,3,FALSE))</f>
        <v>0</v>
      </c>
      <c r="C48" t="s">
        <v>24</v>
      </c>
      <c r="D48" t="str">
        <f>VLOOKUP($C48,classifications!$C:$J,4,FALSE)</f>
        <v>SD</v>
      </c>
      <c r="E48">
        <f>VLOOKUP(C48,classifications!C:K,9,FALSE)</f>
        <v>0</v>
      </c>
      <c r="F48">
        <f t="shared" si="25"/>
        <v>444.3</v>
      </c>
      <c r="G48" s="15"/>
      <c r="H48" s="42" t="str">
        <f t="shared" si="26"/>
        <v/>
      </c>
      <c r="I48" s="79" t="str">
        <f>IF(H48="","",IF($I$8="A",(RANK(H48,H$11:H$343,1)+COUNTIF(H$11:H48,H48)-1),(RANK(H48,H$11:H$343)+COUNTIF(H$11:H48,H48)-1)))</f>
        <v/>
      </c>
      <c r="J48" s="41"/>
      <c r="K48" s="36">
        <f t="shared" si="34"/>
        <v>38</v>
      </c>
      <c r="L48" t="str">
        <f t="shared" si="27"/>
        <v>Plymouth</v>
      </c>
      <c r="M48" s="117">
        <f t="shared" si="28"/>
        <v>551.79999999999995</v>
      </c>
      <c r="N48" s="112">
        <f t="shared" si="23"/>
        <v>551.79999999999995</v>
      </c>
      <c r="O48" s="96" t="str">
        <f t="shared" si="11"/>
        <v/>
      </c>
      <c r="P48" s="96" t="str">
        <f t="shared" si="19"/>
        <v/>
      </c>
      <c r="Q48" s="96">
        <f t="shared" si="20"/>
        <v>551.79999999999995</v>
      </c>
      <c r="R48" s="92" t="str">
        <f t="shared" si="21"/>
        <v/>
      </c>
      <c r="S48" s="42" t="str">
        <f t="shared" si="12"/>
        <v/>
      </c>
      <c r="T48" s="167">
        <f>IF(L48="","",VLOOKUP(L48,classifications!C:K,9,FALSE))</f>
        <v>0</v>
      </c>
      <c r="U48" s="168" t="str">
        <f t="shared" si="29"/>
        <v/>
      </c>
      <c r="V48" s="174" t="str">
        <f>IF(U48="","",IF($I$8="A",(RANK(U48,U$11:U$343)+COUNTIF(U$11:U48,U48)-1),(RANK(U48,U$11:U$343,1)+COUNTIF(U$11:U48,U48)-1)))</f>
        <v/>
      </c>
      <c r="W48" s="175"/>
      <c r="X48" s="5" t="str">
        <f>IF(L48="","",VLOOKUP($L48,classifications!$C:$J,6,FALSE))</f>
        <v>Urban with City and Town</v>
      </c>
      <c r="Y48" t="str">
        <f t="shared" si="4"/>
        <v/>
      </c>
      <c r="Z48" s="40" t="str">
        <f>IF(Y48="","",IF(I$8="A",(RANK(Y48,Y$11:Y$343,1)+COUNTIF(Y$11:Y48,Y48)-1),(RANK(Y48,Y$11:Y$343)+COUNTIF(Y$11:Y48,Y48)-1)))</f>
        <v/>
      </c>
      <c r="AA48" s="180" t="str">
        <f>IF(L48="","",VLOOKUP($L48,classifications!C:I,7,FALSE))</f>
        <v>Predominantly Urban</v>
      </c>
      <c r="AB48" s="174" t="str">
        <f t="shared" si="14"/>
        <v/>
      </c>
      <c r="AC48" s="174" t="str">
        <f>IF(AB48="","",IF($I$8="A",(RANK(AB48,AB$11:AB$343)+COUNTIF(AB$11:AB48,AB48)-1),(RANK(AB48,AB$11:AB$343,1)+COUNTIF(AB$11:AB48,AB48)-1)))</f>
        <v/>
      </c>
      <c r="AD48" s="174"/>
      <c r="AE48" s="36" t="str">
        <f t="shared" si="24"/>
        <v/>
      </c>
      <c r="AG48" s="15"/>
      <c r="AH48" s="3"/>
      <c r="AI48" s="5" t="str">
        <f>IF(L48="","",VLOOKUP($L48,classifications!$C:$J,8,FALSE))</f>
        <v>Unitary</v>
      </c>
      <c r="AJ48" s="43">
        <f t="shared" si="5"/>
        <v>551.79999999999995</v>
      </c>
      <c r="AK48" s="40">
        <f>IF(AJ48="","",IF(I$8="A",(RANK(AJ48,AJ$11:AJ$343,1)+COUNTIF(AJ$11:AJ48,AJ48)-1),(RANK(AJ48,AJ$11:AJ$343)+COUNTIF(AJ$11:AJ48,AJ48)-1)))</f>
        <v>37</v>
      </c>
      <c r="AL48" s="3">
        <f t="shared" si="35"/>
        <v>38</v>
      </c>
      <c r="AM48" t="str">
        <f t="shared" si="30"/>
        <v>Stoke-on-Trent</v>
      </c>
      <c r="AN48">
        <f t="shared" si="31"/>
        <v>555.9</v>
      </c>
      <c r="AP48" s="5" t="str">
        <f>IF(L48="","",VLOOKUP($L48,classifications!$C:$E,3,FALSE))</f>
        <v>South West</v>
      </c>
      <c r="AQ48" s="43" t="str">
        <f t="shared" si="17"/>
        <v/>
      </c>
      <c r="AR48" s="40" t="str">
        <f>IF(AQ48="","",IF(I$8="A",(RANK(AQ48,AQ$11:AQ$343,1)+COUNTIF(AQ$11:AQ48,AQ48)-1),(RANK(AQ48,AQ$11:AQ$343)+COUNTIF(AQ$11:AQ48,AQ48)-1)))</f>
        <v/>
      </c>
      <c r="AS48" s="3" t="str">
        <f t="shared" si="36"/>
        <v/>
      </c>
      <c r="AT48" s="40" t="str">
        <f t="shared" si="32"/>
        <v/>
      </c>
      <c r="AU48" s="43" t="str">
        <f t="shared" si="33"/>
        <v/>
      </c>
      <c r="AX48">
        <f>HLOOKUP($AX$9&amp;$AX$10,Data!$A$1:$ZZ$1980,(MATCH($C48,Data!$A$1:$A$1980,0)),FALSE)</f>
        <v>444.3</v>
      </c>
    </row>
    <row r="49" spans="1:50">
      <c r="A49" s="59" t="str">
        <f>$D$1&amp;39</f>
        <v>UA39</v>
      </c>
      <c r="B49" s="60">
        <f>IF(ISERROR(VLOOKUP(A49,classifications!A:C,3,FALSE)),0,VLOOKUP(A49,classifications!A:C,3,FALSE))</f>
        <v>0</v>
      </c>
      <c r="C49" t="s">
        <v>25</v>
      </c>
      <c r="D49" t="str">
        <f>VLOOKUP($C49,classifications!$C:$J,4,FALSE)</f>
        <v>SD</v>
      </c>
      <c r="E49">
        <f>VLOOKUP(C49,classifications!C:K,9,FALSE)</f>
        <v>0</v>
      </c>
      <c r="F49">
        <f t="shared" si="25"/>
        <v>520.20000000000005</v>
      </c>
      <c r="G49" s="15"/>
      <c r="H49" s="42" t="str">
        <f t="shared" si="26"/>
        <v/>
      </c>
      <c r="I49" s="79" t="str">
        <f>IF(H49="","",IF($I$8="A",(RANK(H49,H$11:H$343,1)+COUNTIF(H$11:H49,H49)-1),(RANK(H49,H$11:H$343)+COUNTIF(H$11:H49,H49)-1)))</f>
        <v/>
      </c>
      <c r="J49" s="41"/>
      <c r="K49" s="36">
        <f t="shared" si="34"/>
        <v>39</v>
      </c>
      <c r="L49" t="str">
        <f t="shared" si="27"/>
        <v>Stoke-on-Trent</v>
      </c>
      <c r="M49" s="117">
        <f t="shared" si="28"/>
        <v>555.9</v>
      </c>
      <c r="N49" s="112">
        <f t="shared" si="23"/>
        <v>555.9</v>
      </c>
      <c r="O49" s="96" t="str">
        <f t="shared" si="11"/>
        <v/>
      </c>
      <c r="P49" s="96" t="str">
        <f t="shared" si="19"/>
        <v/>
      </c>
      <c r="Q49" s="96">
        <f t="shared" si="20"/>
        <v>555.9</v>
      </c>
      <c r="R49" s="92" t="str">
        <f t="shared" si="21"/>
        <v/>
      </c>
      <c r="S49" s="42" t="str">
        <f t="shared" si="12"/>
        <v/>
      </c>
      <c r="T49" s="167">
        <f>IF(L49="","",VLOOKUP(L49,classifications!C:K,9,FALSE))</f>
        <v>0</v>
      </c>
      <c r="U49" s="168" t="str">
        <f t="shared" si="29"/>
        <v/>
      </c>
      <c r="V49" s="174" t="str">
        <f>IF(U49="","",IF($I$8="A",(RANK(U49,U$11:U$343)+COUNTIF(U$11:U49,U49)-1),(RANK(U49,U$11:U$343,1)+COUNTIF(U$11:U49,U49)-1)))</f>
        <v/>
      </c>
      <c r="W49" s="175"/>
      <c r="X49" s="5" t="str">
        <f>IF(L49="","",VLOOKUP($L49,classifications!$C:$J,6,FALSE))</f>
        <v>Urban with City and Town</v>
      </c>
      <c r="Y49" t="str">
        <f t="shared" si="4"/>
        <v/>
      </c>
      <c r="Z49" s="40" t="str">
        <f>IF(Y49="","",IF(I$8="A",(RANK(Y49,Y$11:Y$343,1)+COUNTIF(Y$11:Y49,Y49)-1),(RANK(Y49,Y$11:Y$343)+COUNTIF(Y$11:Y49,Y49)-1)))</f>
        <v/>
      </c>
      <c r="AA49" s="180" t="str">
        <f>IF(L49="","",VLOOKUP($L49,classifications!C:I,7,FALSE))</f>
        <v>Predominantly Urban</v>
      </c>
      <c r="AB49" s="174" t="str">
        <f t="shared" si="14"/>
        <v/>
      </c>
      <c r="AC49" s="174" t="str">
        <f>IF(AB49="","",IF($I$8="A",(RANK(AB49,AB$11:AB$343)+COUNTIF(AB$11:AB49,AB49)-1),(RANK(AB49,AB$11:AB$343,1)+COUNTIF(AB$11:AB49,AB49)-1)))</f>
        <v/>
      </c>
      <c r="AD49" s="174"/>
      <c r="AE49" s="36" t="str">
        <f t="shared" si="24"/>
        <v/>
      </c>
      <c r="AG49" s="15"/>
      <c r="AH49" s="3"/>
      <c r="AI49" s="5" t="str">
        <f>IF(L49="","",VLOOKUP($L49,classifications!$C:$J,8,FALSE))</f>
        <v>Unitary</v>
      </c>
      <c r="AJ49" s="43">
        <f t="shared" si="5"/>
        <v>555.9</v>
      </c>
      <c r="AK49" s="40">
        <f>IF(AJ49="","",IF(I$8="A",(RANK(AJ49,AJ$11:AJ$343,1)+COUNTIF(AJ$11:AJ49,AJ49)-1),(RANK(AJ49,AJ$11:AJ$343)+COUNTIF(AJ$11:AJ49,AJ49)-1)))</f>
        <v>38</v>
      </c>
      <c r="AL49" s="3">
        <f t="shared" si="35"/>
        <v>39</v>
      </c>
      <c r="AM49" t="str">
        <f t="shared" si="30"/>
        <v>North East Lincolnshire</v>
      </c>
      <c r="AN49">
        <f t="shared" si="31"/>
        <v>562.20000000000005</v>
      </c>
      <c r="AP49" s="5" t="str">
        <f>IF(L49="","",VLOOKUP($L49,classifications!$C:$E,3,FALSE))</f>
        <v>West Midlands</v>
      </c>
      <c r="AQ49" s="43" t="str">
        <f t="shared" si="17"/>
        <v/>
      </c>
      <c r="AR49" s="40" t="str">
        <f>IF(AQ49="","",IF(I$8="A",(RANK(AQ49,AQ$11:AQ$343,1)+COUNTIF(AQ$11:AQ49,AQ49)-1),(RANK(AQ49,AQ$11:AQ$343)+COUNTIF(AQ$11:AQ49,AQ49)-1)))</f>
        <v/>
      </c>
      <c r="AS49" s="3" t="str">
        <f t="shared" si="36"/>
        <v/>
      </c>
      <c r="AT49" s="40" t="str">
        <f t="shared" si="32"/>
        <v/>
      </c>
      <c r="AU49" s="43" t="str">
        <f t="shared" si="33"/>
        <v/>
      </c>
      <c r="AX49">
        <f>HLOOKUP($AX$9&amp;$AX$10,Data!$A$1:$ZZ$1980,(MATCH($C49,Data!$A$1:$A$1980,0)),FALSE)</f>
        <v>520.20000000000005</v>
      </c>
    </row>
    <row r="50" spans="1:50">
      <c r="A50" s="59" t="str">
        <f>$D$1&amp;40</f>
        <v>UA40</v>
      </c>
      <c r="B50" s="60">
        <f>IF(ISERROR(VLOOKUP(A50,classifications!A:C,3,FALSE)),0,VLOOKUP(A50,classifications!A:C,3,FALSE))</f>
        <v>0</v>
      </c>
      <c r="C50" t="s">
        <v>301</v>
      </c>
      <c r="D50" t="str">
        <f>VLOOKUP($C50,classifications!$C:$J,4,FALSE)</f>
        <v>UA</v>
      </c>
      <c r="E50">
        <f>VLOOKUP(C50,classifications!C:K,9,FALSE)</f>
        <v>0</v>
      </c>
      <c r="F50">
        <f t="shared" si="25"/>
        <v>477.3</v>
      </c>
      <c r="G50" s="15"/>
      <c r="H50" s="42">
        <f t="shared" si="26"/>
        <v>477.3</v>
      </c>
      <c r="I50" s="79">
        <f>IF(H50="","",IF($I$8="A",(RANK(H50,H$11:H$343,1)+COUNTIF(H$11:H50,H50)-1),(RANK(H50,H$11:H$343)+COUNTIF(H$11:H50,H50)-1)))</f>
        <v>17</v>
      </c>
      <c r="J50" s="41"/>
      <c r="K50" s="36">
        <f t="shared" si="34"/>
        <v>40</v>
      </c>
      <c r="L50" t="str">
        <f t="shared" si="27"/>
        <v>North East Lincolnshire</v>
      </c>
      <c r="M50" s="117">
        <f t="shared" si="28"/>
        <v>562.20000000000005</v>
      </c>
      <c r="N50" s="112">
        <f t="shared" si="23"/>
        <v>562.20000000000005</v>
      </c>
      <c r="O50" s="96" t="str">
        <f t="shared" si="11"/>
        <v/>
      </c>
      <c r="P50" s="96" t="str">
        <f t="shared" si="19"/>
        <v/>
      </c>
      <c r="Q50" s="96">
        <f t="shared" si="20"/>
        <v>562.20000000000005</v>
      </c>
      <c r="R50" s="92" t="str">
        <f t="shared" si="21"/>
        <v/>
      </c>
      <c r="S50" s="42" t="str">
        <f t="shared" si="12"/>
        <v/>
      </c>
      <c r="T50" s="167">
        <f>IF(L50="","",VLOOKUP(L50,classifications!C:K,9,FALSE))</f>
        <v>0</v>
      </c>
      <c r="U50" s="168" t="str">
        <f t="shared" si="29"/>
        <v/>
      </c>
      <c r="V50" s="174" t="str">
        <f>IF(U50="","",IF($I$8="A",(RANK(U50,U$11:U$343)+COUNTIF(U$11:U50,U50)-1),(RANK(U50,U$11:U$343,1)+COUNTIF(U$11:U50,U50)-1)))</f>
        <v/>
      </c>
      <c r="W50" s="175"/>
      <c r="X50" s="5" t="str">
        <f>IF(L50="","",VLOOKUP($L50,classifications!$C:$J,6,FALSE))</f>
        <v>Urban with City and Town</v>
      </c>
      <c r="Y50" t="str">
        <f t="shared" si="4"/>
        <v/>
      </c>
      <c r="Z50" s="40" t="str">
        <f>IF(Y50="","",IF(I$8="A",(RANK(Y50,Y$11:Y$343,1)+COUNTIF(Y$11:Y50,Y50)-1),(RANK(Y50,Y$11:Y$343)+COUNTIF(Y$11:Y50,Y50)-1)))</f>
        <v/>
      </c>
      <c r="AA50" s="180" t="str">
        <f>IF(L50="","",VLOOKUP($L50,classifications!C:I,7,FALSE))</f>
        <v>Predominantly Urban</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Unitary</v>
      </c>
      <c r="AJ50" s="43">
        <f t="shared" si="5"/>
        <v>562.20000000000005</v>
      </c>
      <c r="AK50" s="40">
        <f>IF(AJ50="","",IF(I$8="A",(RANK(AJ50,AJ$11:AJ$343,1)+COUNTIF(AJ$11:AJ50,AJ50)-1),(RANK(AJ50,AJ$11:AJ$343)+COUNTIF(AJ$11:AJ50,AJ50)-1)))</f>
        <v>39</v>
      </c>
      <c r="AL50" s="3">
        <f t="shared" si="35"/>
        <v>40</v>
      </c>
      <c r="AM50" t="str">
        <f t="shared" si="30"/>
        <v>Durham</v>
      </c>
      <c r="AN50">
        <f t="shared" si="31"/>
        <v>565.20000000000005</v>
      </c>
      <c r="AP50" s="5" t="str">
        <f>IF(L50="","",VLOOKUP($L50,classifications!$C:$E,3,FALSE))</f>
        <v>Yorkshire &amp; Humberside</v>
      </c>
      <c r="AQ50" s="43" t="str">
        <f t="shared" si="17"/>
        <v/>
      </c>
      <c r="AR50" s="40" t="str">
        <f>IF(AQ50="","",IF(I$8="A",(RANK(AQ50,AQ$11:AQ$343,1)+COUNTIF(AQ$11:AQ50,AQ50)-1),(RANK(AQ50,AQ$11:AQ$343)+COUNTIF(AQ$11:AQ50,AQ50)-1)))</f>
        <v/>
      </c>
      <c r="AS50" s="3" t="str">
        <f t="shared" si="36"/>
        <v/>
      </c>
      <c r="AT50" s="40" t="str">
        <f t="shared" si="32"/>
        <v/>
      </c>
      <c r="AU50" s="43" t="str">
        <f t="shared" si="33"/>
        <v/>
      </c>
      <c r="AX50">
        <f>HLOOKUP($AX$9&amp;$AX$10,Data!$A$1:$ZZ$1980,(MATCH($C50,Data!$A$1:$A$1980,0)),FALSE)</f>
        <v>477.3</v>
      </c>
    </row>
    <row r="51" spans="1:50">
      <c r="A51" s="59" t="str">
        <f>$D$1&amp;41</f>
        <v>UA41</v>
      </c>
      <c r="B51" s="60">
        <f>IF(ISERROR(VLOOKUP(A51,classifications!A:C,3,FALSE)),0,VLOOKUP(A51,classifications!A:C,3,FALSE))</f>
        <v>0</v>
      </c>
      <c r="C51" t="s">
        <v>26</v>
      </c>
      <c r="D51" t="str">
        <f>VLOOKUP($C51,classifications!$C:$J,4,FALSE)</f>
        <v>SD</v>
      </c>
      <c r="E51">
        <f>VLOOKUP(C51,classifications!C:K,9,FALSE)</f>
        <v>0</v>
      </c>
      <c r="F51">
        <f t="shared" si="25"/>
        <v>476.8</v>
      </c>
      <c r="G51" s="15"/>
      <c r="H51" s="42" t="str">
        <f t="shared" si="26"/>
        <v/>
      </c>
      <c r="I51" s="79" t="str">
        <f>IF(H51="","",IF($I$8="A",(RANK(H51,H$11:H$343,1)+COUNTIF(H$11:H51,H51)-1),(RANK(H51,H$11:H$343)+COUNTIF(H$11:H51,H51)-1)))</f>
        <v/>
      </c>
      <c r="J51" s="41"/>
      <c r="K51" s="36">
        <f t="shared" si="34"/>
        <v>41</v>
      </c>
      <c r="L51" t="str">
        <f t="shared" si="27"/>
        <v>Durham</v>
      </c>
      <c r="M51" s="117">
        <f t="shared" si="28"/>
        <v>565.20000000000005</v>
      </c>
      <c r="N51" s="112">
        <f t="shared" si="23"/>
        <v>565.20000000000005</v>
      </c>
      <c r="O51" s="96" t="str">
        <f t="shared" si="11"/>
        <v/>
      </c>
      <c r="P51" s="96" t="str">
        <f t="shared" si="19"/>
        <v/>
      </c>
      <c r="Q51" s="96">
        <f t="shared" si="20"/>
        <v>565.20000000000005</v>
      </c>
      <c r="R51" s="92" t="str">
        <f t="shared" si="21"/>
        <v/>
      </c>
      <c r="S51" s="42" t="str">
        <f t="shared" si="12"/>
        <v/>
      </c>
      <c r="T51" s="167" t="str">
        <f>IF(L51="","",VLOOKUP(L51,classifications!C:K,9,FALSE))</f>
        <v>Sparse</v>
      </c>
      <c r="U51" s="168">
        <f t="shared" si="29"/>
        <v>565.20000000000005</v>
      </c>
      <c r="V51" s="174">
        <f>IF(U51="","",IF($I$8="A",(RANK(U51,U$11:U$343)+COUNTIF(U$11:U51,U51)-1),(RANK(U51,U$11:U$343,1)+COUNTIF(U$11:U51,U51)-1)))</f>
        <v>3</v>
      </c>
      <c r="W51" s="175"/>
      <c r="X51" s="5" t="str">
        <f>IF(L51="","",VLOOKUP($L51,classifications!$C:$J,6,FALSE))</f>
        <v xml:space="preserve">Largely Rural (rural including hub towns 50-79%) </v>
      </c>
      <c r="Y51">
        <f t="shared" si="4"/>
        <v>565.20000000000005</v>
      </c>
      <c r="Z51" s="40">
        <f>IF(Y51="","",IF(I$8="A",(RANK(Y51,Y$11:Y$343,1)+COUNTIF(Y$11:Y51,Y51)-1),(RANK(Y51,Y$11:Y$343)+COUNTIF(Y$11:Y51,Y51)-1)))</f>
        <v>16</v>
      </c>
      <c r="AA51" s="180" t="str">
        <f>IF(L51="","",VLOOKUP($L51,classifications!C:I,7,FALSE))</f>
        <v>Predominantly Rural</v>
      </c>
      <c r="AB51" s="174" t="str">
        <f t="shared" si="14"/>
        <v/>
      </c>
      <c r="AC51" s="174" t="str">
        <f>IF(AB51="","",IF($I$8="A",(RANK(AB51,AB$11:AB$343)+COUNTIF(AB$11:AB51,AB51)-1),(RANK(AB51,AB$11:AB$343,1)+COUNTIF(AB$11:AB51,AB51)-1)))</f>
        <v/>
      </c>
      <c r="AD51" s="174"/>
      <c r="AE51" s="36" t="str">
        <f t="shared" si="24"/>
        <v/>
      </c>
      <c r="AG51" s="15"/>
      <c r="AH51" s="3"/>
      <c r="AI51" s="5" t="str">
        <f>IF(L51="","",VLOOKUP($L51,classifications!$C:$J,8,FALSE))</f>
        <v>Unitary</v>
      </c>
      <c r="AJ51" s="43">
        <f t="shared" si="5"/>
        <v>565.20000000000005</v>
      </c>
      <c r="AK51" s="40">
        <f>IF(AJ51="","",IF(I$8="A",(RANK(AJ51,AJ$11:AJ$343,1)+COUNTIF(AJ$11:AJ51,AJ51)-1),(RANK(AJ51,AJ$11:AJ$343)+COUNTIF(AJ$11:AJ51,AJ51)-1)))</f>
        <v>40</v>
      </c>
      <c r="AL51" s="3">
        <f t="shared" si="35"/>
        <v>41</v>
      </c>
      <c r="AM51" t="str">
        <f t="shared" si="30"/>
        <v>Redcar &amp; Cleveland</v>
      </c>
      <c r="AN51">
        <f t="shared" si="31"/>
        <v>568.29999999999995</v>
      </c>
      <c r="AP51" s="5" t="str">
        <f>IF(L51="","",VLOOKUP($L51,classifications!$C:$E,3,FALSE))</f>
        <v>NE</v>
      </c>
      <c r="AQ51" s="43" t="str">
        <f t="shared" si="17"/>
        <v/>
      </c>
      <c r="AR51" s="40" t="str">
        <f>IF(AQ51="","",IF(I$8="A",(RANK(AQ51,AQ$11:AQ$343,1)+COUNTIF(AQ$11:AQ51,AQ51)-1),(RANK(AQ51,AQ$11:AQ$343)+COUNTIF(AQ$11:AQ51,AQ51)-1)))</f>
        <v/>
      </c>
      <c r="AS51" s="3" t="str">
        <f t="shared" si="36"/>
        <v/>
      </c>
      <c r="AT51" s="40" t="str">
        <f t="shared" si="32"/>
        <v/>
      </c>
      <c r="AU51" s="43" t="str">
        <f t="shared" si="33"/>
        <v/>
      </c>
      <c r="AX51">
        <f>HLOOKUP($AX$9&amp;$AX$10,Data!$A$1:$ZZ$1980,(MATCH($C51,Data!$A$1:$A$1980,0)),FALSE)</f>
        <v>476.8</v>
      </c>
    </row>
    <row r="52" spans="1:50">
      <c r="A52" s="59" t="str">
        <f>$D$1&amp;42</f>
        <v>UA42</v>
      </c>
      <c r="B52" s="60">
        <f>IF(ISERROR(VLOOKUP(A52,classifications!A:C,3,FALSE)),0,VLOOKUP(A52,classifications!A:C,3,FALSE))</f>
        <v>0</v>
      </c>
      <c r="C52" t="s">
        <v>227</v>
      </c>
      <c r="D52" t="str">
        <f>VLOOKUP($C52,classifications!$C:$J,4,FALSE)</f>
        <v>MD</v>
      </c>
      <c r="E52">
        <f>VLOOKUP(C52,classifications!C:K,9,FALSE)</f>
        <v>0</v>
      </c>
      <c r="F52">
        <f t="shared" si="25"/>
        <v>342.5</v>
      </c>
      <c r="G52" s="15"/>
      <c r="H52" s="42" t="str">
        <f t="shared" si="26"/>
        <v/>
      </c>
      <c r="I52" s="79" t="str">
        <f>IF(H52="","",IF($I$8="A",(RANK(H52,H$11:H$343,1)+COUNTIF(H$11:H52,H52)-1),(RANK(H52,H$11:H$343)+COUNTIF(H$11:H52,H52)-1)))</f>
        <v/>
      </c>
      <c r="J52" s="41"/>
      <c r="K52" s="36">
        <f t="shared" si="34"/>
        <v>42</v>
      </c>
      <c r="L52" t="str">
        <f t="shared" si="27"/>
        <v>Redcar &amp; Cleveland</v>
      </c>
      <c r="M52" s="117">
        <f t="shared" si="28"/>
        <v>568.29999999999995</v>
      </c>
      <c r="N52" s="112">
        <f t="shared" si="23"/>
        <v>568.29999999999995</v>
      </c>
      <c r="O52" s="96" t="str">
        <f t="shared" si="11"/>
        <v/>
      </c>
      <c r="P52" s="96" t="str">
        <f t="shared" si="19"/>
        <v/>
      </c>
      <c r="Q52" s="96">
        <f t="shared" si="20"/>
        <v>568.29999999999995</v>
      </c>
      <c r="R52" s="92" t="str">
        <f t="shared" si="21"/>
        <v/>
      </c>
      <c r="S52" s="42" t="str">
        <f t="shared" si="12"/>
        <v/>
      </c>
      <c r="T52" s="167">
        <f>IF(L52="","",VLOOKUP(L52,classifications!C:K,9,FALSE))</f>
        <v>0</v>
      </c>
      <c r="U52" s="168" t="str">
        <f t="shared" si="29"/>
        <v/>
      </c>
      <c r="V52" s="174" t="str">
        <f>IF(U52="","",IF($I$8="A",(RANK(U52,U$11:U$343)+COUNTIF(U$11:U52,U52)-1),(RANK(U52,U$11:U$343,1)+COUNTIF(U$11:U52,U52)-1)))</f>
        <v/>
      </c>
      <c r="W52" s="175"/>
      <c r="X52" s="5" t="str">
        <f>IF(L52="","",VLOOKUP($L52,classifications!$C:$J,6,FALSE))</f>
        <v>Urban with Significant Rural (rural including hub towns 26-49%)</v>
      </c>
      <c r="Y52">
        <f t="shared" si="4"/>
        <v>568.29999999999995</v>
      </c>
      <c r="Z52" s="40">
        <f>IF(Y52="","",IF(I$8="A",(RANK(Y52,Y$11:Y$343,1)+COUNTIF(Y$11:Y52,Y52)-1),(RANK(Y52,Y$11:Y$343)+COUNTIF(Y$11:Y52,Y52)-1)))</f>
        <v>17</v>
      </c>
      <c r="AA52" s="180" t="str">
        <f>IF(L52="","",VLOOKUP($L52,classifications!C:I,7,FALSE))</f>
        <v>Significant Rural</v>
      </c>
      <c r="AB52" s="174">
        <f t="shared" si="14"/>
        <v>568.29999999999995</v>
      </c>
      <c r="AC52" s="174">
        <f>IF(AB52="","",IF($I$8="A",(RANK(AB52,AB$11:AB$343)+COUNTIF(AB$11:AB52,AB52)-1),(RANK(AB52,AB$11:AB$343,1)+COUNTIF(AB$11:AB52,AB52)-1)))</f>
        <v>2</v>
      </c>
      <c r="AD52" s="174"/>
      <c r="AE52" s="36" t="str">
        <f t="shared" si="24"/>
        <v/>
      </c>
      <c r="AG52" s="15"/>
      <c r="AH52" s="3"/>
      <c r="AI52" s="5" t="str">
        <f>IF(L52="","",VLOOKUP($L52,classifications!$C:$J,8,FALSE))</f>
        <v>Unitary</v>
      </c>
      <c r="AJ52" s="43">
        <f t="shared" si="5"/>
        <v>568.29999999999995</v>
      </c>
      <c r="AK52" s="40">
        <f>IF(AJ52="","",IF(I$8="A",(RANK(AJ52,AJ$11:AJ$343,1)+COUNTIF(AJ$11:AJ52,AJ52)-1),(RANK(AJ52,AJ$11:AJ$343)+COUNTIF(AJ$11:AJ52,AJ52)-1)))</f>
        <v>41</v>
      </c>
      <c r="AL52" s="3">
        <f t="shared" si="35"/>
        <v>42</v>
      </c>
      <c r="AM52" t="str">
        <f t="shared" si="30"/>
        <v>Southampton</v>
      </c>
      <c r="AN52">
        <f t="shared" si="31"/>
        <v>570</v>
      </c>
      <c r="AP52" s="5" t="str">
        <f>IF(L52="","",VLOOKUP($L52,classifications!$C:$E,3,FALSE))</f>
        <v>NE</v>
      </c>
      <c r="AQ52" s="43" t="str">
        <f t="shared" si="17"/>
        <v/>
      </c>
      <c r="AR52" s="40" t="str">
        <f>IF(AQ52="","",IF(I$8="A",(RANK(AQ52,AQ$11:AQ$343,1)+COUNTIF(AQ$11:AQ52,AQ52)-1),(RANK(AQ52,AQ$11:AQ$343)+COUNTIF(AQ$11:AQ52,AQ52)-1)))</f>
        <v/>
      </c>
      <c r="AS52" s="3" t="str">
        <f t="shared" si="36"/>
        <v/>
      </c>
      <c r="AT52" s="40" t="str">
        <f t="shared" si="32"/>
        <v/>
      </c>
      <c r="AU52" s="43" t="str">
        <f t="shared" si="33"/>
        <v/>
      </c>
      <c r="AX52">
        <f>HLOOKUP($AX$9&amp;$AX$10,Data!$A$1:$ZZ$1980,(MATCH($C52,Data!$A$1:$A$1980,0)),FALSE)</f>
        <v>342.5</v>
      </c>
    </row>
    <row r="53" spans="1:50">
      <c r="A53" s="59" t="str">
        <f>$D$1&amp;43</f>
        <v>UA43</v>
      </c>
      <c r="B53" s="60">
        <f>IF(ISERROR(VLOOKUP(A53,classifications!A:C,3,FALSE)),0,VLOOKUP(A53,classifications!A:C,3,FALSE))</f>
        <v>0</v>
      </c>
      <c r="C53" t="s">
        <v>228</v>
      </c>
      <c r="D53" t="str">
        <f>VLOOKUP($C53,classifications!$C:$J,4,FALSE)</f>
        <v>MD</v>
      </c>
      <c r="E53">
        <f>VLOOKUP(C53,classifications!C:K,9,FALSE)</f>
        <v>0</v>
      </c>
      <c r="F53">
        <f t="shared" si="25"/>
        <v>434.7</v>
      </c>
      <c r="G53" s="15"/>
      <c r="H53" s="42" t="str">
        <f t="shared" si="26"/>
        <v/>
      </c>
      <c r="I53" s="79" t="str">
        <f>IF(H53="","",IF($I$8="A",(RANK(H53,H$11:H$343,1)+COUNTIF(H$11:H53,H53)-1),(RANK(H53,H$11:H$343)+COUNTIF(H$11:H53,H53)-1)))</f>
        <v/>
      </c>
      <c r="J53" s="41"/>
      <c r="K53" s="36">
        <f t="shared" si="34"/>
        <v>43</v>
      </c>
      <c r="L53" t="str">
        <f t="shared" si="27"/>
        <v>Southampton</v>
      </c>
      <c r="M53" s="117">
        <f t="shared" si="28"/>
        <v>570</v>
      </c>
      <c r="N53" s="112">
        <f t="shared" si="23"/>
        <v>570</v>
      </c>
      <c r="O53" s="96" t="str">
        <f t="shared" si="11"/>
        <v/>
      </c>
      <c r="P53" s="96" t="str">
        <f t="shared" si="19"/>
        <v/>
      </c>
      <c r="Q53" s="96">
        <f t="shared" si="20"/>
        <v>570</v>
      </c>
      <c r="R53" s="92" t="str">
        <f t="shared" si="21"/>
        <v/>
      </c>
      <c r="S53" s="42" t="str">
        <f t="shared" si="12"/>
        <v/>
      </c>
      <c r="T53" s="167">
        <f>IF(L53="","",VLOOKUP(L53,classifications!C:K,9,FALSE))</f>
        <v>0</v>
      </c>
      <c r="U53" s="168" t="str">
        <f t="shared" si="29"/>
        <v/>
      </c>
      <c r="V53" s="174" t="str">
        <f>IF(U53="","",IF($I$8="A",(RANK(U53,U$11:U$343)+COUNTIF(U$11:U53,U53)-1),(RANK(U53,U$11:U$343,1)+COUNTIF(U$11:U53,U53)-1)))</f>
        <v/>
      </c>
      <c r="W53" s="175"/>
      <c r="X53" s="5" t="str">
        <f>IF(L53="","",VLOOKUP($L53,classifications!$C:$J,6,FALSE))</f>
        <v>Urban with City and Town</v>
      </c>
      <c r="Y53" t="str">
        <f t="shared" si="4"/>
        <v/>
      </c>
      <c r="Z53" s="40" t="str">
        <f>IF(Y53="","",IF(I$8="A",(RANK(Y53,Y$11:Y$343,1)+COUNTIF(Y$11:Y53,Y53)-1),(RANK(Y53,Y$11:Y$343)+COUNTIF(Y$11:Y53,Y53)-1)))</f>
        <v/>
      </c>
      <c r="AA53" s="180" t="str">
        <f>IF(L53="","",VLOOKUP($L53,classifications!C:I,7,FALSE))</f>
        <v>Predominantly Urban</v>
      </c>
      <c r="AB53" s="174" t="str">
        <f t="shared" si="14"/>
        <v/>
      </c>
      <c r="AC53" s="174" t="str">
        <f>IF(AB53="","",IF($I$8="A",(RANK(AB53,AB$11:AB$343)+COUNTIF(AB$11:AB53,AB53)-1),(RANK(AB53,AB$11:AB$343,1)+COUNTIF(AB$11:AB53,AB53)-1)))</f>
        <v/>
      </c>
      <c r="AD53" s="174"/>
      <c r="AE53" s="36" t="str">
        <f t="shared" si="24"/>
        <v/>
      </c>
      <c r="AG53" s="15"/>
      <c r="AH53" s="3"/>
      <c r="AI53" s="5" t="str">
        <f>IF(L53="","",VLOOKUP($L53,classifications!$C:$J,8,FALSE))</f>
        <v>Unitary</v>
      </c>
      <c r="AJ53" s="43">
        <f t="shared" si="5"/>
        <v>570</v>
      </c>
      <c r="AK53" s="40">
        <f>IF(AJ53="","",IF(I$8="A",(RANK(AJ53,AJ$11:AJ$343,1)+COUNTIF(AJ$11:AJ53,AJ53)-1),(RANK(AJ53,AJ$11:AJ$343)+COUNTIF(AJ$11:AJ53,AJ53)-1)))</f>
        <v>42</v>
      </c>
      <c r="AL53" s="3">
        <f t="shared" si="35"/>
        <v>43</v>
      </c>
      <c r="AM53" t="str">
        <f t="shared" si="30"/>
        <v>Hartlepool</v>
      </c>
      <c r="AN53">
        <f t="shared" si="31"/>
        <v>572.9</v>
      </c>
      <c r="AP53" s="5" t="str">
        <f>IF(L53="","",VLOOKUP($L53,classifications!$C:$E,3,FALSE))</f>
        <v>South East</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434.7</v>
      </c>
    </row>
    <row r="54" spans="1:50">
      <c r="A54" s="59" t="str">
        <f>$D$1&amp;44</f>
        <v>UA44</v>
      </c>
      <c r="B54" s="60">
        <f>IF(ISERROR(VLOOKUP(A54,classifications!A:C,3,FALSE)),0,VLOOKUP(A54,classifications!A:C,3,FALSE))</f>
        <v>0</v>
      </c>
      <c r="C54" t="s">
        <v>27</v>
      </c>
      <c r="D54" t="str">
        <f>VLOOKUP($C54,classifications!$C:$J,4,FALSE)</f>
        <v>SD</v>
      </c>
      <c r="E54">
        <f>VLOOKUP(C54,classifications!C:K,9,FALSE)</f>
        <v>0</v>
      </c>
      <c r="F54" t="str">
        <f t="shared" si="25"/>
        <v>..</v>
      </c>
      <c r="G54" s="15"/>
      <c r="H54" s="42" t="str">
        <f t="shared" si="26"/>
        <v/>
      </c>
      <c r="I54" s="79" t="str">
        <f>IF(H54="","",IF($I$8="A",(RANK(H54,H$11:H$343,1)+COUNTIF(H$11:H54,H54)-1),(RANK(H54,H$11:H$343)+COUNTIF(H$11:H54,H54)-1)))</f>
        <v/>
      </c>
      <c r="J54" s="41"/>
      <c r="K54" s="36">
        <f t="shared" si="34"/>
        <v>44</v>
      </c>
      <c r="L54" t="str">
        <f t="shared" si="27"/>
        <v>Hartlepool</v>
      </c>
      <c r="M54" s="117">
        <f t="shared" si="28"/>
        <v>572.9</v>
      </c>
      <c r="N54" s="112">
        <f t="shared" si="23"/>
        <v>572.9</v>
      </c>
      <c r="O54" s="96" t="str">
        <f t="shared" si="11"/>
        <v/>
      </c>
      <c r="P54" s="96" t="str">
        <f t="shared" si="19"/>
        <v/>
      </c>
      <c r="Q54" s="96" t="str">
        <f t="shared" si="20"/>
        <v/>
      </c>
      <c r="R54" s="92">
        <f t="shared" si="21"/>
        <v>572.9</v>
      </c>
      <c r="S54" s="42" t="str">
        <f t="shared" si="12"/>
        <v/>
      </c>
      <c r="T54" s="167">
        <f>IF(L54="","",VLOOKUP(L54,classifications!C:K,9,FALSE))</f>
        <v>0</v>
      </c>
      <c r="U54" s="168" t="str">
        <f t="shared" si="29"/>
        <v/>
      </c>
      <c r="V54" s="174" t="str">
        <f>IF(U54="","",IF($I$8="A",(RANK(U54,U$11:U$343)+COUNTIF(U$11:U54,U54)-1),(RANK(U54,U$11:U$343,1)+COUNTIF(U$11:U54,U54)-1)))</f>
        <v/>
      </c>
      <c r="W54" s="175"/>
      <c r="X54" s="5" t="str">
        <f>IF(L54="","",VLOOKUP($L54,classifications!$C:$J,6,FALSE))</f>
        <v>Urban with City and Town</v>
      </c>
      <c r="Y54" t="str">
        <f t="shared" si="4"/>
        <v/>
      </c>
      <c r="Z54" s="40" t="str">
        <f>IF(Y54="","",IF(I$8="A",(RANK(Y54,Y$11:Y$343,1)+COUNTIF(Y$11:Y54,Y54)-1),(RANK(Y54,Y$11:Y$343)+COUNTIF(Y$11:Y54,Y54)-1)))</f>
        <v/>
      </c>
      <c r="AA54" s="180" t="str">
        <f>IF(L54="","",VLOOKUP($L54,classifications!C:I,7,FALSE))</f>
        <v>Predominantly Urban</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Unitary</v>
      </c>
      <c r="AJ54" s="43">
        <f t="shared" si="5"/>
        <v>572.9</v>
      </c>
      <c r="AK54" s="40">
        <f>IF(AJ54="","",IF(I$8="A",(RANK(AJ54,AJ$11:AJ$343,1)+COUNTIF(AJ$11:AJ54,AJ54)-1),(RANK(AJ54,AJ$11:AJ$343)+COUNTIF(AJ$11:AJ54,AJ54)-1)))</f>
        <v>43</v>
      </c>
      <c r="AL54" s="3">
        <f t="shared" si="35"/>
        <v>44</v>
      </c>
      <c r="AM54" t="str">
        <f t="shared" si="30"/>
        <v>Darlington</v>
      </c>
      <c r="AN54">
        <f t="shared" si="31"/>
        <v>575.1</v>
      </c>
      <c r="AP54" s="5" t="str">
        <f>IF(L54="","",VLOOKUP($L54,classifications!$C:$E,3,FALSE))</f>
        <v>NE</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UA45</v>
      </c>
      <c r="B55" s="60">
        <f>IF(ISERROR(VLOOKUP(A55,classifications!A:C,3,FALSE)),0,VLOOKUP(A55,classifications!A:C,3,FALSE))</f>
        <v>0</v>
      </c>
      <c r="C55" t="s">
        <v>303</v>
      </c>
      <c r="D55" t="str">
        <f>VLOOKUP($C55,classifications!$C:$J,4,FALSE)</f>
        <v>SC</v>
      </c>
      <c r="E55">
        <f>VLOOKUP(C55,classifications!C:K,9,FALSE)</f>
        <v>0</v>
      </c>
      <c r="F55">
        <f t="shared" si="25"/>
        <v>479.4</v>
      </c>
      <c r="G55" s="15"/>
      <c r="H55" s="42" t="str">
        <f t="shared" si="26"/>
        <v/>
      </c>
      <c r="I55" s="79" t="str">
        <f>IF(H55="","",IF($I$8="A",(RANK(H55,H$11:H$343,1)+COUNTIF(H$11:H55,H55)-1),(RANK(H55,H$11:H$343)+COUNTIF(H$11:H55,H55)-1)))</f>
        <v/>
      </c>
      <c r="J55" s="41"/>
      <c r="K55" s="36">
        <f t="shared" si="34"/>
        <v>45</v>
      </c>
      <c r="L55" t="str">
        <f t="shared" si="27"/>
        <v>Darlington</v>
      </c>
      <c r="M55" s="117">
        <f t="shared" si="28"/>
        <v>575.1</v>
      </c>
      <c r="N55" s="112">
        <f t="shared" si="23"/>
        <v>575.1</v>
      </c>
      <c r="O55" s="96" t="str">
        <f t="shared" si="11"/>
        <v/>
      </c>
      <c r="P55" s="96" t="str">
        <f t="shared" si="19"/>
        <v/>
      </c>
      <c r="Q55" s="96" t="str">
        <f t="shared" si="20"/>
        <v/>
      </c>
      <c r="R55" s="92">
        <f t="shared" si="21"/>
        <v>575.1</v>
      </c>
      <c r="S55" s="42" t="str">
        <f t="shared" si="12"/>
        <v/>
      </c>
      <c r="T55" s="167">
        <f>IF(L55="","",VLOOKUP(L55,classifications!C:K,9,FALSE))</f>
        <v>0</v>
      </c>
      <c r="U55" s="168" t="str">
        <f t="shared" si="29"/>
        <v/>
      </c>
      <c r="V55" s="174" t="str">
        <f>IF(U55="","",IF($I$8="A",(RANK(U55,U$11:U$343)+COUNTIF(U$11:U55,U55)-1),(RANK(U55,U$11:U$343,1)+COUNTIF(U$11:U55,U55)-1)))</f>
        <v/>
      </c>
      <c r="W55" s="175"/>
      <c r="X55" s="5" t="str">
        <f>IF(L55="","",VLOOKUP($L55,classifications!$C:$J,6,FALSE))</f>
        <v>Urban with City and Town</v>
      </c>
      <c r="Y55" t="str">
        <f t="shared" si="4"/>
        <v/>
      </c>
      <c r="Z55" s="40" t="str">
        <f>IF(Y55="","",IF(I$8="A",(RANK(Y55,Y$11:Y$343,1)+COUNTIF(Y$11:Y55,Y55)-1),(RANK(Y55,Y$11:Y$343)+COUNTIF(Y$11:Y55,Y55)-1)))</f>
        <v/>
      </c>
      <c r="AA55" s="180" t="str">
        <f>IF(L55="","",VLOOKUP($L55,classifications!C:I,7,FALSE))</f>
        <v>Predominantly Urban</v>
      </c>
      <c r="AB55" s="174" t="str">
        <f t="shared" si="14"/>
        <v/>
      </c>
      <c r="AC55" s="174" t="str">
        <f>IF(AB55="","",IF($I$8="A",(RANK(AB55,AB$11:AB$343)+COUNTIF(AB$11:AB55,AB55)-1),(RANK(AB55,AB$11:AB$343,1)+COUNTIF(AB$11:AB55,AB55)-1)))</f>
        <v/>
      </c>
      <c r="AD55" s="174"/>
      <c r="AE55" s="36" t="str">
        <f t="shared" si="24"/>
        <v/>
      </c>
      <c r="AG55" s="15"/>
      <c r="AH55" s="3"/>
      <c r="AI55" s="5" t="str">
        <f>IF(L55="","",VLOOKUP($L55,classifications!$C:$J,8,FALSE))</f>
        <v>Unitary</v>
      </c>
      <c r="AJ55" s="43">
        <f t="shared" si="5"/>
        <v>575.1</v>
      </c>
      <c r="AK55" s="40">
        <f>IF(AJ55="","",IF(I$8="A",(RANK(AJ55,AJ$11:AJ$343,1)+COUNTIF(AJ$11:AJ55,AJ55)-1),(RANK(AJ55,AJ$11:AJ$343)+COUNTIF(AJ$11:AJ55,AJ55)-1)))</f>
        <v>44</v>
      </c>
      <c r="AL55" s="3">
        <f t="shared" si="35"/>
        <v>45</v>
      </c>
      <c r="AM55" t="str">
        <f t="shared" si="30"/>
        <v>Nottingham</v>
      </c>
      <c r="AN55">
        <f t="shared" si="31"/>
        <v>577.6</v>
      </c>
      <c r="AP55" s="5" t="str">
        <f>IF(L55="","",VLOOKUP($L55,classifications!$C:$E,3,FALSE))</f>
        <v>NE</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479.4</v>
      </c>
    </row>
    <row r="56" spans="1:50">
      <c r="A56" s="59" t="str">
        <f>$D$1&amp;46</f>
        <v>UA46</v>
      </c>
      <c r="B56" s="60">
        <f>IF(ISERROR(VLOOKUP(A56,classifications!A:C,3,FALSE)),0,VLOOKUP(A56,classifications!A:C,3,FALSE))</f>
        <v>0</v>
      </c>
      <c r="C56" t="s">
        <v>201</v>
      </c>
      <c r="D56" t="str">
        <f>VLOOKUP($C56,classifications!$C:$J,4,FALSE)</f>
        <v>L</v>
      </c>
      <c r="E56">
        <f>VLOOKUP(C56,classifications!C:K,9,FALSE)</f>
        <v>0</v>
      </c>
      <c r="F56">
        <f t="shared" si="25"/>
        <v>355.4</v>
      </c>
      <c r="G56" s="15"/>
      <c r="H56" s="42" t="str">
        <f t="shared" si="26"/>
        <v/>
      </c>
      <c r="I56" s="79" t="str">
        <f>IF(H56="","",IF($I$8="A",(RANK(H56,H$11:H$343,1)+COUNTIF(H$11:H56,H56)-1),(RANK(H56,H$11:H$343)+COUNTIF(H$11:H56,H56)-1)))</f>
        <v/>
      </c>
      <c r="J56" s="41"/>
      <c r="K56" s="36">
        <f t="shared" si="34"/>
        <v>46</v>
      </c>
      <c r="L56" t="str">
        <f t="shared" si="27"/>
        <v>Nottingham</v>
      </c>
      <c r="M56" s="117">
        <f t="shared" si="28"/>
        <v>577.6</v>
      </c>
      <c r="N56" s="112">
        <f t="shared" si="23"/>
        <v>577.6</v>
      </c>
      <c r="O56" s="96" t="str">
        <f t="shared" si="11"/>
        <v/>
      </c>
      <c r="P56" s="96" t="str">
        <f t="shared" si="19"/>
        <v/>
      </c>
      <c r="Q56" s="96" t="str">
        <f t="shared" si="20"/>
        <v/>
      </c>
      <c r="R56" s="92">
        <f t="shared" si="21"/>
        <v>577.6</v>
      </c>
      <c r="S56" s="42" t="str">
        <f t="shared" si="12"/>
        <v/>
      </c>
      <c r="T56" s="167">
        <f>IF(L56="","",VLOOKUP(L56,classifications!C:K,9,FALSE))</f>
        <v>0</v>
      </c>
      <c r="U56" s="168" t="str">
        <f t="shared" si="29"/>
        <v/>
      </c>
      <c r="V56" s="174" t="str">
        <f>IF(U56="","",IF($I$8="A",(RANK(U56,U$11:U$343)+COUNTIF(U$11:U56,U56)-1),(RANK(U56,U$11:U$343,1)+COUNTIF(U$11:U56,U56)-1)))</f>
        <v/>
      </c>
      <c r="W56" s="175"/>
      <c r="X56" s="5" t="str">
        <f>IF(L56="","",VLOOKUP($L56,classifications!$C:$J,6,FALSE))</f>
        <v>Urban with Minor Conurbation</v>
      </c>
      <c r="Y56" t="str">
        <f t="shared" si="4"/>
        <v/>
      </c>
      <c r="Z56" s="40" t="str">
        <f>IF(Y56="","",IF(I$8="A",(RANK(Y56,Y$11:Y$343,1)+COUNTIF(Y$11:Y56,Y56)-1),(RANK(Y56,Y$11:Y$343)+COUNTIF(Y$11:Y56,Y56)-1)))</f>
        <v/>
      </c>
      <c r="AA56" s="180" t="str">
        <f>IF(L56="","",VLOOKUP($L56,classifications!C:I,7,FALSE))</f>
        <v>Predominantly Urban</v>
      </c>
      <c r="AB56" s="174" t="str">
        <f t="shared" si="14"/>
        <v/>
      </c>
      <c r="AC56" s="174" t="str">
        <f>IF(AB56="","",IF($I$8="A",(RANK(AB56,AB$11:AB$343)+COUNTIF(AB$11:AB56,AB56)-1),(RANK(AB56,AB$11:AB$343,1)+COUNTIF(AB$11:AB56,AB56)-1)))</f>
        <v/>
      </c>
      <c r="AD56" s="174"/>
      <c r="AE56" s="36" t="str">
        <f t="shared" si="24"/>
        <v/>
      </c>
      <c r="AG56" s="15"/>
      <c r="AH56" s="3"/>
      <c r="AI56" s="5" t="str">
        <f>IF(L56="","",VLOOKUP($L56,classifications!$C:$J,8,FALSE))</f>
        <v>Unitary</v>
      </c>
      <c r="AJ56" s="43">
        <f t="shared" si="5"/>
        <v>577.6</v>
      </c>
      <c r="AK56" s="40">
        <f>IF(AJ56="","",IF(I$8="A",(RANK(AJ56,AJ$11:AJ$343,1)+COUNTIF(AJ$11:AJ56,AJ56)-1),(RANK(AJ56,AJ$11:AJ$343)+COUNTIF(AJ$11:AJ56,AJ56)-1)))</f>
        <v>45</v>
      </c>
      <c r="AL56" s="3">
        <f t="shared" si="35"/>
        <v>46</v>
      </c>
      <c r="AM56" t="str">
        <f t="shared" si="30"/>
        <v>Swindon</v>
      </c>
      <c r="AN56">
        <f t="shared" si="31"/>
        <v>578.1</v>
      </c>
      <c r="AP56" s="5" t="str">
        <f>IF(L56="","",VLOOKUP($L56,classifications!$C:$E,3,FALSE))</f>
        <v>East Midlands</v>
      </c>
      <c r="AQ56" s="43" t="str">
        <f t="shared" si="17"/>
        <v/>
      </c>
      <c r="AR56" s="40" t="str">
        <f>IF(AQ56="","",IF(I$8="A",(RANK(AQ56,AQ$11:AQ$343,1)+COUNTIF(AQ$11:AQ56,AQ56)-1),(RANK(AQ56,AQ$11:AQ$343)+COUNTIF(AQ$11:AQ56,AQ56)-1)))</f>
        <v/>
      </c>
      <c r="AS56" s="3" t="str">
        <f t="shared" si="36"/>
        <v/>
      </c>
      <c r="AT56" s="40" t="str">
        <f t="shared" si="32"/>
        <v/>
      </c>
      <c r="AU56" s="43" t="str">
        <f t="shared" si="33"/>
        <v/>
      </c>
      <c r="AX56">
        <f>HLOOKUP($AX$9&amp;$AX$10,Data!$A$1:$ZZ$1980,(MATCH($C56,Data!$A$1:$A$1980,0)),FALSE)</f>
        <v>355.4</v>
      </c>
    </row>
    <row r="57" spans="1:50">
      <c r="A57" s="59" t="str">
        <f>$D$1&amp;47</f>
        <v>UA47</v>
      </c>
      <c r="B57" s="60">
        <f>IF(ISERROR(VLOOKUP(A57,classifications!A:C,3,FALSE)),0,VLOOKUP(A57,classifications!A:C,3,FALSE))</f>
        <v>0</v>
      </c>
      <c r="C57" t="s">
        <v>28</v>
      </c>
      <c r="D57" t="str">
        <f>VLOOKUP($C57,classifications!$C:$J,4,FALSE)</f>
        <v>SD</v>
      </c>
      <c r="E57">
        <f>VLOOKUP(C57,classifications!C:K,9,FALSE)</f>
        <v>0</v>
      </c>
      <c r="F57">
        <f t="shared" si="25"/>
        <v>488.7</v>
      </c>
      <c r="G57" s="15"/>
      <c r="H57" s="42" t="str">
        <f t="shared" si="26"/>
        <v/>
      </c>
      <c r="I57" s="79" t="str">
        <f>IF(H57="","",IF($I$8="A",(RANK(H57,H$11:H$343,1)+COUNTIF(H$11:H57,H57)-1),(RANK(H57,H$11:H$343)+COUNTIF(H$11:H57,H57)-1)))</f>
        <v/>
      </c>
      <c r="J57" s="41"/>
      <c r="K57" s="36">
        <f t="shared" si="34"/>
        <v>47</v>
      </c>
      <c r="L57" t="str">
        <f t="shared" si="27"/>
        <v>Swindon</v>
      </c>
      <c r="M57" s="117">
        <f t="shared" si="28"/>
        <v>578.1</v>
      </c>
      <c r="N57" s="112">
        <f t="shared" si="23"/>
        <v>578.1</v>
      </c>
      <c r="O57" s="96" t="str">
        <f t="shared" si="11"/>
        <v/>
      </c>
      <c r="P57" s="96" t="str">
        <f t="shared" si="19"/>
        <v/>
      </c>
      <c r="Q57" s="96" t="str">
        <f t="shared" si="20"/>
        <v/>
      </c>
      <c r="R57" s="92">
        <f t="shared" si="21"/>
        <v>578.1</v>
      </c>
      <c r="S57" s="42" t="str">
        <f t="shared" si="12"/>
        <v/>
      </c>
      <c r="T57" s="167">
        <f>IF(L57="","",VLOOKUP(L57,classifications!C:K,9,FALSE))</f>
        <v>0</v>
      </c>
      <c r="U57" s="168" t="str">
        <f t="shared" si="29"/>
        <v/>
      </c>
      <c r="V57" s="174" t="str">
        <f>IF(U57="","",IF($I$8="A",(RANK(U57,U$11:U$343)+COUNTIF(U$11:U57,U57)-1),(RANK(U57,U$11:U$343,1)+COUNTIF(U$11:U57,U57)-1)))</f>
        <v/>
      </c>
      <c r="W57" s="175"/>
      <c r="X57" s="5" t="str">
        <f>IF(L57="","",VLOOKUP($L57,classifications!$C:$J,6,FALSE))</f>
        <v>Urban with City and Town</v>
      </c>
      <c r="Y57" t="str">
        <f t="shared" si="4"/>
        <v/>
      </c>
      <c r="Z57" s="40" t="str">
        <f>IF(Y57="","",IF(I$8="A",(RANK(Y57,Y$11:Y$343,1)+COUNTIF(Y$11:Y57,Y57)-1),(RANK(Y57,Y$11:Y$343)+COUNTIF(Y$11:Y57,Y57)-1)))</f>
        <v/>
      </c>
      <c r="AA57" s="180" t="str">
        <f>IF(L57="","",VLOOKUP($L57,classifications!C:I,7,FALSE))</f>
        <v>Predominantly Urban</v>
      </c>
      <c r="AB57" s="174" t="str">
        <f t="shared" si="14"/>
        <v/>
      </c>
      <c r="AC57" s="174" t="str">
        <f>IF(AB57="","",IF($I$8="A",(RANK(AB57,AB$11:AB$343)+COUNTIF(AB$11:AB57,AB57)-1),(RANK(AB57,AB$11:AB$343,1)+COUNTIF(AB$11:AB57,AB57)-1)))</f>
        <v/>
      </c>
      <c r="AD57" s="174"/>
      <c r="AE57" s="36" t="str">
        <f t="shared" si="24"/>
        <v/>
      </c>
      <c r="AG57" s="15"/>
      <c r="AH57" s="3"/>
      <c r="AI57" s="5" t="str">
        <f>IF(L57="","",VLOOKUP($L57,classifications!$C:$J,8,FALSE))</f>
        <v>Unitary</v>
      </c>
      <c r="AJ57" s="43">
        <f t="shared" si="5"/>
        <v>578.1</v>
      </c>
      <c r="AK57" s="40">
        <f>IF(AJ57="","",IF(I$8="A",(RANK(AJ57,AJ$11:AJ$343,1)+COUNTIF(AJ$11:AJ57,AJ57)-1),(RANK(AJ57,AJ$11:AJ$343)+COUNTIF(AJ$11:AJ57,AJ57)-1)))</f>
        <v>46</v>
      </c>
      <c r="AL57" s="3">
        <f t="shared" si="35"/>
        <v>47</v>
      </c>
      <c r="AM57" t="str">
        <f t="shared" si="30"/>
        <v>Bedford</v>
      </c>
      <c r="AN57">
        <f t="shared" si="31"/>
        <v>580.79999999999995</v>
      </c>
      <c r="AP57" s="5" t="str">
        <f>IF(L57="","",VLOOKUP($L57,classifications!$C:$E,3,FALSE))</f>
        <v>South West</v>
      </c>
      <c r="AQ57" s="43" t="str">
        <f t="shared" si="17"/>
        <v/>
      </c>
      <c r="AR57" s="40" t="str">
        <f>IF(AQ57="","",IF(I$8="A",(RANK(AQ57,AQ$11:AQ$343,1)+COUNTIF(AQ$11:AQ57,AQ57)-1),(RANK(AQ57,AQ$11:AQ$343)+COUNTIF(AQ$11:AQ57,AQ57)-1)))</f>
        <v/>
      </c>
      <c r="AS57" s="3" t="str">
        <f t="shared" si="36"/>
        <v/>
      </c>
      <c r="AT57" s="40" t="str">
        <f t="shared" si="32"/>
        <v/>
      </c>
      <c r="AU57" s="43" t="str">
        <f t="shared" si="33"/>
        <v/>
      </c>
      <c r="AX57">
        <f>HLOOKUP($AX$9&amp;$AX$10,Data!$A$1:$ZZ$1980,(MATCH($C57,Data!$A$1:$A$1980,0)),FALSE)</f>
        <v>488.7</v>
      </c>
    </row>
    <row r="58" spans="1:50">
      <c r="A58" s="59" t="str">
        <f>$D$1&amp;48</f>
        <v>UA48</v>
      </c>
      <c r="B58" s="60">
        <f>IF(ISERROR(VLOOKUP(A58,classifications!A:C,3,FALSE)),0,VLOOKUP(A58,classifications!A:C,3,FALSE))</f>
        <v>0</v>
      </c>
      <c r="C58" t="s">
        <v>29</v>
      </c>
      <c r="D58" t="str">
        <f>VLOOKUP($C58,classifications!$C:$J,4,FALSE)</f>
        <v>SD</v>
      </c>
      <c r="E58">
        <f>VLOOKUP(C58,classifications!C:K,9,FALSE)</f>
        <v>0</v>
      </c>
      <c r="F58">
        <f t="shared" si="25"/>
        <v>393.4</v>
      </c>
      <c r="G58" s="15"/>
      <c r="H58" s="42" t="str">
        <f t="shared" si="26"/>
        <v/>
      </c>
      <c r="I58" s="79" t="str">
        <f>IF(H58="","",IF($I$8="A",(RANK(H58,H$11:H$343,1)+COUNTIF(H$11:H58,H58)-1),(RANK(H58,H$11:H$343)+COUNTIF(H$11:H58,H58)-1)))</f>
        <v/>
      </c>
      <c r="J58" s="41"/>
      <c r="K58" s="36">
        <f t="shared" si="34"/>
        <v>48</v>
      </c>
      <c r="L58" t="str">
        <f t="shared" si="27"/>
        <v>Bedford</v>
      </c>
      <c r="M58" s="117">
        <f t="shared" si="28"/>
        <v>580.79999999999995</v>
      </c>
      <c r="N58" s="112">
        <f t="shared" si="23"/>
        <v>580.79999999999995</v>
      </c>
      <c r="O58" s="96" t="str">
        <f t="shared" si="11"/>
        <v/>
      </c>
      <c r="P58" s="96" t="str">
        <f t="shared" si="19"/>
        <v/>
      </c>
      <c r="Q58" s="96" t="str">
        <f t="shared" si="20"/>
        <v/>
      </c>
      <c r="R58" s="92">
        <f t="shared" si="21"/>
        <v>580.79999999999995</v>
      </c>
      <c r="S58" s="42" t="str">
        <f t="shared" si="12"/>
        <v/>
      </c>
      <c r="T58" s="167">
        <f>IF(L58="","",VLOOKUP(L58,classifications!C:K,9,FALSE))</f>
        <v>0</v>
      </c>
      <c r="U58" s="168" t="str">
        <f t="shared" si="29"/>
        <v/>
      </c>
      <c r="V58" s="174" t="str">
        <f>IF(U58="","",IF($I$8="A",(RANK(U58,U$11:U$343)+COUNTIF(U$11:U58,U58)-1),(RANK(U58,U$11:U$343,1)+COUNTIF(U$11:U58,U58)-1)))</f>
        <v/>
      </c>
      <c r="W58" s="175"/>
      <c r="X58" s="5" t="str">
        <f>IF(L58="","",VLOOKUP($L58,classifications!$C:$J,6,FALSE))</f>
        <v>Urban with Significant Rural (rural including hub towns 26-49%)</v>
      </c>
      <c r="Y58">
        <f t="shared" si="4"/>
        <v>580.79999999999995</v>
      </c>
      <c r="Z58" s="40">
        <f>IF(Y58="","",IF(I$8="A",(RANK(Y58,Y$11:Y$343,1)+COUNTIF(Y$11:Y58,Y58)-1),(RANK(Y58,Y$11:Y$343)+COUNTIF(Y$11:Y58,Y58)-1)))</f>
        <v>18</v>
      </c>
      <c r="AA58" s="180" t="str">
        <f>IF(L58="","",VLOOKUP($L58,classifications!C:I,7,FALSE))</f>
        <v>Significant Rural</v>
      </c>
      <c r="AB58" s="174">
        <f t="shared" si="14"/>
        <v>580.79999999999995</v>
      </c>
      <c r="AC58" s="174">
        <f>IF(AB58="","",IF($I$8="A",(RANK(AB58,AB$11:AB$343)+COUNTIF(AB$11:AB58,AB58)-1),(RANK(AB58,AB$11:AB$343,1)+COUNTIF(AB$11:AB58,AB58)-1)))</f>
        <v>1</v>
      </c>
      <c r="AD58" s="174"/>
      <c r="AE58" s="36" t="str">
        <f t="shared" si="24"/>
        <v/>
      </c>
      <c r="AG58" s="15"/>
      <c r="AH58" s="3"/>
      <c r="AI58" s="5" t="str">
        <f>IF(L58="","",VLOOKUP($L58,classifications!$C:$J,8,FALSE))</f>
        <v>Unitary</v>
      </c>
      <c r="AJ58" s="43">
        <f t="shared" si="5"/>
        <v>580.79999999999995</v>
      </c>
      <c r="AK58" s="40">
        <f>IF(AJ58="","",IF(I$8="A",(RANK(AJ58,AJ$11:AJ$343,1)+COUNTIF(AJ$11:AJ58,AJ58)-1),(RANK(AJ58,AJ$11:AJ$343)+COUNTIF(AJ$11:AJ58,AJ58)-1)))</f>
        <v>47</v>
      </c>
      <c r="AL58" s="3">
        <f t="shared" si="35"/>
        <v>48</v>
      </c>
      <c r="AM58" t="str">
        <f t="shared" si="30"/>
        <v>Blackburn with Darwen</v>
      </c>
      <c r="AN58">
        <f t="shared" si="31"/>
        <v>591.70000000000005</v>
      </c>
      <c r="AP58" s="5" t="str">
        <f>IF(L58="","",VLOOKUP($L58,classifications!$C:$E,3,FALSE))</f>
        <v>East of England</v>
      </c>
      <c r="AQ58" s="43" t="str">
        <f t="shared" si="17"/>
        <v/>
      </c>
      <c r="AR58" s="40" t="str">
        <f>IF(AQ58="","",IF(I$8="A",(RANK(AQ58,AQ$11:AQ$343,1)+COUNTIF(AQ$11:AQ58,AQ58)-1),(RANK(AQ58,AQ$11:AQ$343)+COUNTIF(AQ$11:AQ58,AQ58)-1)))</f>
        <v/>
      </c>
      <c r="AS58" s="3" t="str">
        <f t="shared" si="36"/>
        <v/>
      </c>
      <c r="AT58" s="40" t="str">
        <f t="shared" si="32"/>
        <v/>
      </c>
      <c r="AU58" s="43" t="str">
        <f t="shared" si="33"/>
        <v/>
      </c>
      <c r="AX58">
        <f>HLOOKUP($AX$9&amp;$AX$10,Data!$A$1:$ZZ$1980,(MATCH($C58,Data!$A$1:$A$1980,0)),FALSE)</f>
        <v>393.4</v>
      </c>
    </row>
    <row r="59" spans="1:50">
      <c r="A59" s="59" t="str">
        <f>$D$1&amp;49</f>
        <v>UA49</v>
      </c>
      <c r="B59" s="60">
        <f>IF(ISERROR(VLOOKUP(A59,classifications!A:C,3,FALSE)),0,VLOOKUP(A59,classifications!A:C,3,FALSE))</f>
        <v>0</v>
      </c>
      <c r="C59" t="s">
        <v>30</v>
      </c>
      <c r="D59" t="str">
        <f>VLOOKUP($C59,classifications!$C:$J,4,FALSE)</f>
        <v>SD</v>
      </c>
      <c r="E59">
        <f>VLOOKUP(C59,classifications!C:K,9,FALSE)</f>
        <v>0</v>
      </c>
      <c r="F59">
        <f t="shared" si="25"/>
        <v>467.3</v>
      </c>
      <c r="G59" s="15"/>
      <c r="H59" s="42" t="str">
        <f t="shared" si="26"/>
        <v/>
      </c>
      <c r="I59" s="79" t="str">
        <f>IF(H59="","",IF($I$8="A",(RANK(H59,H$11:H$343,1)+COUNTIF(H$11:H59,H59)-1),(RANK(H59,H$11:H$343)+COUNTIF(H$11:H59,H59)-1)))</f>
        <v/>
      </c>
      <c r="J59" s="41"/>
      <c r="K59" s="36">
        <f t="shared" si="34"/>
        <v>49</v>
      </c>
      <c r="L59" t="str">
        <f t="shared" si="27"/>
        <v>Blackburn with Darwen</v>
      </c>
      <c r="M59" s="117">
        <f t="shared" si="28"/>
        <v>591.70000000000005</v>
      </c>
      <c r="N59" s="112">
        <f t="shared" si="23"/>
        <v>591.70000000000005</v>
      </c>
      <c r="O59" s="96" t="str">
        <f t="shared" si="11"/>
        <v/>
      </c>
      <c r="P59" s="96" t="str">
        <f t="shared" si="19"/>
        <v/>
      </c>
      <c r="Q59" s="96" t="str">
        <f t="shared" si="20"/>
        <v/>
      </c>
      <c r="R59" s="92">
        <f t="shared" si="21"/>
        <v>591.70000000000005</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Urban with City and Town</v>
      </c>
      <c r="Y59" t="str">
        <f t="shared" si="4"/>
        <v/>
      </c>
      <c r="Z59" s="40" t="str">
        <f>IF(Y59="","",IF(I$8="A",(RANK(Y59,Y$11:Y$343,1)+COUNTIF(Y$11:Y59,Y59)-1),(RANK(Y59,Y$11:Y$343)+COUNTIF(Y$11:Y59,Y59)-1)))</f>
        <v/>
      </c>
      <c r="AA59" s="180" t="str">
        <f>IF(L59="","",VLOOKUP($L59,classifications!C:I,7,FALSE))</f>
        <v>Predominantly Urban</v>
      </c>
      <c r="AB59" s="174" t="str">
        <f t="shared" si="14"/>
        <v/>
      </c>
      <c r="AC59" s="174" t="str">
        <f>IF(AB59="","",IF($I$8="A",(RANK(AB59,AB$11:AB$343)+COUNTIF(AB$11:AB59,AB59)-1),(RANK(AB59,AB$11:AB$343,1)+COUNTIF(AB$11:AB59,AB59)-1)))</f>
        <v/>
      </c>
      <c r="AD59" s="174"/>
      <c r="AE59" s="36" t="str">
        <f t="shared" si="24"/>
        <v/>
      </c>
      <c r="AG59" s="15"/>
      <c r="AH59" s="3"/>
      <c r="AI59" s="5" t="str">
        <f>IF(L59="","",VLOOKUP($L59,classifications!$C:$J,8,FALSE))</f>
        <v>Unitary</v>
      </c>
      <c r="AJ59" s="43">
        <f t="shared" si="5"/>
        <v>591.70000000000005</v>
      </c>
      <c r="AK59" s="40">
        <f>IF(AJ59="","",IF(I$8="A",(RANK(AJ59,AJ$11:AJ$343,1)+COUNTIF(AJ$11:AJ59,AJ59)-1),(RANK(AJ59,AJ$11:AJ$343)+COUNTIF(AJ$11:AJ59,AJ59)-1)))</f>
        <v>48</v>
      </c>
      <c r="AL59" s="3">
        <f t="shared" si="35"/>
        <v>49</v>
      </c>
      <c r="AM59" t="str">
        <f t="shared" si="30"/>
        <v>Halton</v>
      </c>
      <c r="AN59">
        <f t="shared" si="31"/>
        <v>598.9</v>
      </c>
      <c r="AP59" s="5" t="str">
        <f>IF(L59="","",VLOOKUP($L59,classifications!$C:$E,3,FALSE))</f>
        <v>North West</v>
      </c>
      <c r="AQ59" s="43">
        <f t="shared" si="17"/>
        <v>591.70000000000005</v>
      </c>
      <c r="AR59" s="40">
        <f>IF(AQ59="","",IF(I$8="A",(RANK(AQ59,AQ$11:AQ$343,1)+COUNTIF(AQ$11:AQ59,AQ59)-1),(RANK(AQ59,AQ$11:AQ$343)+COUNTIF(AQ$11:AQ59,AQ59)-1)))</f>
        <v>5</v>
      </c>
      <c r="AS59" s="3" t="str">
        <f t="shared" si="36"/>
        <v/>
      </c>
      <c r="AT59" s="40" t="str">
        <f t="shared" si="32"/>
        <v/>
      </c>
      <c r="AU59" s="43" t="str">
        <f t="shared" si="33"/>
        <v/>
      </c>
      <c r="AX59">
        <f>HLOOKUP($AX$9&amp;$AX$10,Data!$A$1:$ZZ$1980,(MATCH($C59,Data!$A$1:$A$1980,0)),FALSE)</f>
        <v>467.3</v>
      </c>
    </row>
    <row r="60" spans="1:50">
      <c r="A60" s="59" t="str">
        <f>$D$1&amp;50</f>
        <v>UA50</v>
      </c>
      <c r="B60" s="60">
        <f>IF(ISERROR(VLOOKUP(A60,classifications!A:C,3,FALSE)),0,VLOOKUP(A60,classifications!A:C,3,FALSE))</f>
        <v>0</v>
      </c>
      <c r="C60" t="s">
        <v>31</v>
      </c>
      <c r="D60" t="str">
        <f>VLOOKUP($C60,classifications!$C:$J,4,FALSE)</f>
        <v>SD</v>
      </c>
      <c r="E60">
        <f>VLOOKUP(C60,classifications!C:K,9,FALSE)</f>
        <v>0</v>
      </c>
      <c r="F60">
        <f t="shared" si="25"/>
        <v>435.7</v>
      </c>
      <c r="G60" s="15"/>
      <c r="H60" s="42" t="str">
        <f t="shared" si="26"/>
        <v/>
      </c>
      <c r="I60" s="79" t="str">
        <f>IF(H60="","",IF($I$8="A",(RANK(H60,H$11:H$343,1)+COUNTIF(H$11:H60,H60)-1),(RANK(H60,H$11:H$343)+COUNTIF(H$11:H60,H60)-1)))</f>
        <v/>
      </c>
      <c r="J60" s="41"/>
      <c r="K60" s="36">
        <f t="shared" si="34"/>
        <v>50</v>
      </c>
      <c r="L60" t="str">
        <f t="shared" si="27"/>
        <v>Halton</v>
      </c>
      <c r="M60" s="117">
        <f t="shared" si="28"/>
        <v>598.9</v>
      </c>
      <c r="N60" s="112">
        <f t="shared" si="23"/>
        <v>598.9</v>
      </c>
      <c r="O60" s="96" t="str">
        <f t="shared" si="11"/>
        <v/>
      </c>
      <c r="P60" s="96" t="str">
        <f t="shared" si="19"/>
        <v/>
      </c>
      <c r="Q60" s="96" t="str">
        <f t="shared" si="20"/>
        <v/>
      </c>
      <c r="R60" s="92">
        <f t="shared" si="21"/>
        <v>598.9</v>
      </c>
      <c r="S60" s="42" t="str">
        <f t="shared" si="12"/>
        <v/>
      </c>
      <c r="T60" s="167">
        <f>IF(L60="","",VLOOKUP(L60,classifications!C:K,9,FALSE))</f>
        <v>0</v>
      </c>
      <c r="U60" s="168" t="str">
        <f t="shared" si="29"/>
        <v/>
      </c>
      <c r="V60" s="174" t="str">
        <f>IF(U60="","",IF($I$8="A",(RANK(U60,U$11:U$343)+COUNTIF(U$11:U60,U60)-1),(RANK(U60,U$11:U$343,1)+COUNTIF(U$11:U60,U60)-1)))</f>
        <v/>
      </c>
      <c r="W60" s="175"/>
      <c r="X60" s="5" t="str">
        <f>IF(L60="","",VLOOKUP($L60,classifications!$C:$J,6,FALSE))</f>
        <v>Urban with City and Town</v>
      </c>
      <c r="Y60" t="str">
        <f t="shared" si="4"/>
        <v/>
      </c>
      <c r="Z60" s="40" t="str">
        <f>IF(Y60="","",IF(I$8="A",(RANK(Y60,Y$11:Y$343,1)+COUNTIF(Y$11:Y60,Y60)-1),(RANK(Y60,Y$11:Y$343)+COUNTIF(Y$11:Y60,Y60)-1)))</f>
        <v/>
      </c>
      <c r="AA60" s="180" t="str">
        <f>IF(L60="","",VLOOKUP($L60,classifications!C:I,7,FALSE))</f>
        <v>Predominantly Urban</v>
      </c>
      <c r="AB60" s="174" t="str">
        <f t="shared" si="14"/>
        <v/>
      </c>
      <c r="AC60" s="174" t="str">
        <f>IF(AB60="","",IF($I$8="A",(RANK(AB60,AB$11:AB$343)+COUNTIF(AB$11:AB60,AB60)-1),(RANK(AB60,AB$11:AB$343,1)+COUNTIF(AB$11:AB60,AB60)-1)))</f>
        <v/>
      </c>
      <c r="AD60" s="174"/>
      <c r="AE60" s="36" t="str">
        <f t="shared" si="24"/>
        <v/>
      </c>
      <c r="AG60" s="15"/>
      <c r="AH60" s="3"/>
      <c r="AI60" s="5" t="str">
        <f>IF(L60="","",VLOOKUP($L60,classifications!$C:$J,8,FALSE))</f>
        <v>Unitary</v>
      </c>
      <c r="AJ60" s="43">
        <f t="shared" si="5"/>
        <v>598.9</v>
      </c>
      <c r="AK60" s="40">
        <f>IF(AJ60="","",IF(I$8="A",(RANK(AJ60,AJ$11:AJ$343,1)+COUNTIF(AJ$11:AJ60,AJ60)-1),(RANK(AJ60,AJ$11:AJ$343)+COUNTIF(AJ$11:AJ60,AJ60)-1)))</f>
        <v>49</v>
      </c>
      <c r="AL60" s="3">
        <f t="shared" si="35"/>
        <v>50</v>
      </c>
      <c r="AM60" t="str">
        <f t="shared" si="30"/>
        <v>Medway</v>
      </c>
      <c r="AN60">
        <f t="shared" si="31"/>
        <v>599.5</v>
      </c>
      <c r="AP60" s="5" t="str">
        <f>IF(L60="","",VLOOKUP($L60,classifications!$C:$E,3,FALSE))</f>
        <v>North West</v>
      </c>
      <c r="AQ60" s="43">
        <f t="shared" si="17"/>
        <v>598.9</v>
      </c>
      <c r="AR60" s="40">
        <f>IF(AQ60="","",IF(I$8="A",(RANK(AQ60,AQ$11:AQ$343,1)+COUNTIF(AQ$11:AQ60,AQ60)-1),(RANK(AQ60,AQ$11:AQ$343)+COUNTIF(AQ$11:AQ60,AQ60)-1)))</f>
        <v>6</v>
      </c>
      <c r="AS60" s="3" t="str">
        <f t="shared" si="36"/>
        <v/>
      </c>
      <c r="AT60" s="40" t="str">
        <f t="shared" si="32"/>
        <v/>
      </c>
      <c r="AU60" s="43" t="str">
        <f t="shared" si="33"/>
        <v/>
      </c>
      <c r="AX60">
        <f>HLOOKUP($AX$9&amp;$AX$10,Data!$A$1:$ZZ$1980,(MATCH($C60,Data!$A$1:$A$1980,0)),FALSE)</f>
        <v>435.7</v>
      </c>
    </row>
    <row r="61" spans="1:50">
      <c r="A61" s="59" t="str">
        <f>$D$1&amp;51</f>
        <v>UA51</v>
      </c>
      <c r="B61" s="60">
        <f>IF(ISERROR(VLOOKUP(A61,classifications!A:C,3,FALSE)),0,VLOOKUP(A61,classifications!A:C,3,FALSE))</f>
        <v>0</v>
      </c>
      <c r="C61" t="s">
        <v>304</v>
      </c>
      <c r="D61" t="str">
        <f>VLOOKUP($C61,classifications!$C:$J,4,FALSE)</f>
        <v>UA</v>
      </c>
      <c r="E61">
        <f>VLOOKUP(C61,classifications!C:K,9,FALSE)</f>
        <v>0</v>
      </c>
      <c r="F61">
        <f t="shared" si="25"/>
        <v>530</v>
      </c>
      <c r="G61" s="15"/>
      <c r="H61" s="42">
        <f t="shared" si="26"/>
        <v>530</v>
      </c>
      <c r="I61" s="79">
        <f>IF(H61="","",IF($I$8="A",(RANK(H61,H$11:H$343,1)+COUNTIF(H$11:H61,H61)-1),(RANK(H61,H$11:H$343)+COUNTIF(H$11:H61,H61)-1)))</f>
        <v>31</v>
      </c>
      <c r="J61" s="41"/>
      <c r="K61" s="36">
        <f t="shared" si="34"/>
        <v>51</v>
      </c>
      <c r="L61" t="str">
        <f t="shared" si="27"/>
        <v>Medway</v>
      </c>
      <c r="M61" s="117">
        <f t="shared" si="28"/>
        <v>599.5</v>
      </c>
      <c r="N61" s="112">
        <f t="shared" si="23"/>
        <v>599.5</v>
      </c>
      <c r="O61" s="96" t="str">
        <f t="shared" si="11"/>
        <v/>
      </c>
      <c r="P61" s="96" t="str">
        <f t="shared" si="19"/>
        <v/>
      </c>
      <c r="Q61" s="96" t="str">
        <f t="shared" si="20"/>
        <v/>
      </c>
      <c r="R61" s="92">
        <f t="shared" si="21"/>
        <v>599.5</v>
      </c>
      <c r="S61" s="42" t="str">
        <f t="shared" si="12"/>
        <v/>
      </c>
      <c r="T61" s="167">
        <f>IF(L61="","",VLOOKUP(L61,classifications!C:K,9,FALSE))</f>
        <v>0</v>
      </c>
      <c r="U61" s="168" t="str">
        <f t="shared" si="29"/>
        <v/>
      </c>
      <c r="V61" s="174" t="str">
        <f>IF(U61="","",IF($I$8="A",(RANK(U61,U$11:U$343)+COUNTIF(U$11:U61,U61)-1),(RANK(U61,U$11:U$343,1)+COUNTIF(U$11:U61,U61)-1)))</f>
        <v/>
      </c>
      <c r="W61" s="175"/>
      <c r="X61" s="5" t="str">
        <f>IF(L61="","",VLOOKUP($L61,classifications!$C:$J,6,FALSE))</f>
        <v>Urban with City and Town</v>
      </c>
      <c r="Y61" t="str">
        <f t="shared" si="4"/>
        <v/>
      </c>
      <c r="Z61" s="40" t="str">
        <f>IF(Y61="","",IF(I$8="A",(RANK(Y61,Y$11:Y$343,1)+COUNTIF(Y$11:Y61,Y61)-1),(RANK(Y61,Y$11:Y$343)+COUNTIF(Y$11:Y61,Y61)-1)))</f>
        <v/>
      </c>
      <c r="AA61" s="180" t="str">
        <f>IF(L61="","",VLOOKUP($L61,classifications!C:I,7,FALSE))</f>
        <v>Predominantly Urban</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Unitary</v>
      </c>
      <c r="AJ61" s="43">
        <f t="shared" si="5"/>
        <v>599.5</v>
      </c>
      <c r="AK61" s="40">
        <f>IF(AJ61="","",IF(I$8="A",(RANK(AJ61,AJ$11:AJ$343,1)+COUNTIF(AJ$11:AJ61,AJ61)-1),(RANK(AJ61,AJ$11:AJ$343)+COUNTIF(AJ$11:AJ61,AJ61)-1)))</f>
        <v>50</v>
      </c>
      <c r="AL61" s="3">
        <f t="shared" si="35"/>
        <v>51</v>
      </c>
      <c r="AM61" t="str">
        <f t="shared" si="30"/>
        <v>Northumberland</v>
      </c>
      <c r="AN61">
        <f t="shared" si="31"/>
        <v>602.29999999999995</v>
      </c>
      <c r="AP61" s="5" t="str">
        <f>IF(L61="","",VLOOKUP($L61,classifications!$C:$E,3,FALSE))</f>
        <v>South East</v>
      </c>
      <c r="AQ61" s="43" t="str">
        <f t="shared" si="17"/>
        <v/>
      </c>
      <c r="AR61" s="40" t="str">
        <f>IF(AQ61="","",IF(I$8="A",(RANK(AQ61,AQ$11:AQ$343,1)+COUNTIF(AQ$11:AQ61,AQ61)-1),(RANK(AQ61,AQ$11:AQ$343)+COUNTIF(AQ$11:AQ61,AQ61)-1)))</f>
        <v/>
      </c>
      <c r="AS61" s="3" t="str">
        <f t="shared" si="36"/>
        <v/>
      </c>
      <c r="AT61" s="40" t="str">
        <f t="shared" si="32"/>
        <v/>
      </c>
      <c r="AU61" s="43" t="str">
        <f t="shared" si="33"/>
        <v/>
      </c>
      <c r="AX61">
        <f>HLOOKUP($AX$9&amp;$AX$10,Data!$A$1:$ZZ$1980,(MATCH($C61,Data!$A$1:$A$1980,0)),FALSE)</f>
        <v>530</v>
      </c>
    </row>
    <row r="62" spans="1:50">
      <c r="A62" s="59" t="str">
        <f>$D$1&amp;52</f>
        <v>UA52</v>
      </c>
      <c r="B62" s="60">
        <f>IF(ISERROR(VLOOKUP(A62,classifications!A:C,3,FALSE)),0,VLOOKUP(A62,classifications!A:C,3,FALSE))</f>
        <v>0</v>
      </c>
      <c r="C62" t="s">
        <v>32</v>
      </c>
      <c r="D62" t="str">
        <f>VLOOKUP($C62,classifications!$C:$J,4,FALSE)</f>
        <v>SD</v>
      </c>
      <c r="E62">
        <f>VLOOKUP(C62,classifications!C:K,9,FALSE)</f>
        <v>0</v>
      </c>
      <c r="F62">
        <f t="shared" si="25"/>
        <v>438.4</v>
      </c>
      <c r="G62" s="15"/>
      <c r="H62" s="42" t="str">
        <f t="shared" si="26"/>
        <v/>
      </c>
      <c r="I62" s="79" t="str">
        <f>IF(H62="","",IF($I$8="A",(RANK(H62,H$11:H$343,1)+COUNTIF(H$11:H62,H62)-1),(RANK(H62,H$11:H$343)+COUNTIF(H$11:H62,H62)-1)))</f>
        <v/>
      </c>
      <c r="J62" s="41"/>
      <c r="K62" s="36">
        <f t="shared" si="34"/>
        <v>52</v>
      </c>
      <c r="L62" t="str">
        <f t="shared" si="27"/>
        <v>Northumberland</v>
      </c>
      <c r="M62" s="117">
        <f t="shared" si="28"/>
        <v>602.29999999999995</v>
      </c>
      <c r="N62" s="112">
        <f t="shared" si="23"/>
        <v>602.29999999999995</v>
      </c>
      <c r="O62" s="96" t="str">
        <f t="shared" si="11"/>
        <v/>
      </c>
      <c r="P62" s="96" t="str">
        <f t="shared" si="19"/>
        <v/>
      </c>
      <c r="Q62" s="96" t="str">
        <f t="shared" si="20"/>
        <v/>
      </c>
      <c r="R62" s="92">
        <f t="shared" si="21"/>
        <v>602.29999999999995</v>
      </c>
      <c r="S62" s="42" t="str">
        <f t="shared" si="12"/>
        <v/>
      </c>
      <c r="T62" s="167" t="str">
        <f>IF(L62="","",VLOOKUP(L62,classifications!C:K,9,FALSE))</f>
        <v>Sparse</v>
      </c>
      <c r="U62" s="168">
        <f t="shared" si="29"/>
        <v>602.29999999999995</v>
      </c>
      <c r="V62" s="174">
        <f>IF(U62="","",IF($I$8="A",(RANK(U62,U$11:U$343)+COUNTIF(U$11:U62,U62)-1),(RANK(U62,U$11:U$343,1)+COUNTIF(U$11:U62,U62)-1)))</f>
        <v>2</v>
      </c>
      <c r="W62" s="175"/>
      <c r="X62" s="5" t="str">
        <f>IF(L62="","",VLOOKUP($L62,classifications!$C:$J,6,FALSE))</f>
        <v xml:space="preserve">Largely Rural (rural including hub towns 50-79%) </v>
      </c>
      <c r="Y62">
        <f t="shared" si="4"/>
        <v>602.29999999999995</v>
      </c>
      <c r="Z62" s="40">
        <f>IF(Y62="","",IF(I$8="A",(RANK(Y62,Y$11:Y$343,1)+COUNTIF(Y$11:Y62,Y62)-1),(RANK(Y62,Y$11:Y$343)+COUNTIF(Y$11:Y62,Y62)-1)))</f>
        <v>19</v>
      </c>
      <c r="AA62" s="180" t="str">
        <f>IF(L62="","",VLOOKUP($L62,classifications!C:I,7,FALSE))</f>
        <v>Predominantly Rural</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Unitary</v>
      </c>
      <c r="AJ62" s="43">
        <f t="shared" si="5"/>
        <v>602.29999999999995</v>
      </c>
      <c r="AK62" s="40">
        <f>IF(AJ62="","",IF(I$8="A",(RANK(AJ62,AJ$11:AJ$343,1)+COUNTIF(AJ$11:AJ62,AJ62)-1),(RANK(AJ62,AJ$11:AJ$343)+COUNTIF(AJ$11:AJ62,AJ62)-1)))</f>
        <v>51</v>
      </c>
      <c r="AL62" s="3">
        <f t="shared" si="35"/>
        <v>52</v>
      </c>
      <c r="AM62" t="str">
        <f t="shared" si="30"/>
        <v>Cornwall</v>
      </c>
      <c r="AN62">
        <f t="shared" si="31"/>
        <v>618.29999999999995</v>
      </c>
      <c r="AP62" s="5" t="str">
        <f>IF(L62="","",VLOOKUP($L62,classifications!$C:$E,3,FALSE))</f>
        <v>NE</v>
      </c>
      <c r="AQ62" s="43" t="str">
        <f t="shared" si="17"/>
        <v/>
      </c>
      <c r="AR62" s="40" t="str">
        <f>IF(AQ62="","",IF(I$8="A",(RANK(AQ62,AQ$11:AQ$343,1)+COUNTIF(AQ$11:AQ62,AQ62)-1),(RANK(AQ62,AQ$11:AQ$343)+COUNTIF(AQ$11:AQ62,AQ62)-1)))</f>
        <v/>
      </c>
      <c r="AS62" s="3" t="str">
        <f t="shared" si="36"/>
        <v/>
      </c>
      <c r="AT62" s="40" t="str">
        <f t="shared" si="32"/>
        <v/>
      </c>
      <c r="AU62" s="43" t="str">
        <f t="shared" si="33"/>
        <v/>
      </c>
      <c r="AX62">
        <f>HLOOKUP($AX$9&amp;$AX$10,Data!$A$1:$ZZ$1980,(MATCH($C62,Data!$A$1:$A$1980,0)),FALSE)</f>
        <v>438.4</v>
      </c>
    </row>
    <row r="63" spans="1:50">
      <c r="A63" s="59" t="str">
        <f>$D$1&amp;53</f>
        <v>UA53</v>
      </c>
      <c r="B63" s="60">
        <f>IF(ISERROR(VLOOKUP(A63,classifications!A:C,3,FALSE)),0,VLOOKUP(A63,classifications!A:C,3,FALSE))</f>
        <v>0</v>
      </c>
      <c r="C63" t="s">
        <v>33</v>
      </c>
      <c r="D63" t="str">
        <f>VLOOKUP($C63,classifications!$C:$J,4,FALSE)</f>
        <v>SD</v>
      </c>
      <c r="E63">
        <f>VLOOKUP(C63,classifications!C:K,9,FALSE)</f>
        <v>0</v>
      </c>
      <c r="F63">
        <f t="shared" si="25"/>
        <v>406.5</v>
      </c>
      <c r="G63" s="15"/>
      <c r="H63" s="42" t="str">
        <f t="shared" si="26"/>
        <v/>
      </c>
      <c r="I63" s="79" t="str">
        <f>IF(H63="","",IF($I$8="A",(RANK(H63,H$11:H$343,1)+COUNTIF(H$11:H63,H63)-1),(RANK(H63,H$11:H$343)+COUNTIF(H$11:H63,H63)-1)))</f>
        <v/>
      </c>
      <c r="J63" s="41"/>
      <c r="K63" s="36">
        <f t="shared" si="34"/>
        <v>53</v>
      </c>
      <c r="L63" t="str">
        <f t="shared" si="27"/>
        <v>Cornwall</v>
      </c>
      <c r="M63" s="117">
        <f t="shared" si="28"/>
        <v>618.29999999999995</v>
      </c>
      <c r="N63" s="112">
        <f t="shared" si="23"/>
        <v>618.29999999999995</v>
      </c>
      <c r="O63" s="96" t="str">
        <f t="shared" si="11"/>
        <v/>
      </c>
      <c r="P63" s="96" t="str">
        <f t="shared" si="19"/>
        <v/>
      </c>
      <c r="Q63" s="96" t="str">
        <f t="shared" si="20"/>
        <v/>
      </c>
      <c r="R63" s="92">
        <f t="shared" si="21"/>
        <v>618.29999999999995</v>
      </c>
      <c r="S63" s="42" t="str">
        <f t="shared" si="12"/>
        <v/>
      </c>
      <c r="T63" s="167" t="str">
        <f>IF(L63="","",VLOOKUP(L63,classifications!C:K,9,FALSE))</f>
        <v>Sparse</v>
      </c>
      <c r="U63" s="168">
        <f t="shared" si="29"/>
        <v>618.29999999999995</v>
      </c>
      <c r="V63" s="174">
        <f>IF(U63="","",IF($I$8="A",(RANK(U63,U$11:U$343)+COUNTIF(U$11:U63,U63)-1),(RANK(U63,U$11:U$343,1)+COUNTIF(U$11:U63,U63)-1)))</f>
        <v>1</v>
      </c>
      <c r="W63" s="175"/>
      <c r="X63" s="5" t="str">
        <f>IF(L63="","",VLOOKUP($L63,classifications!$C:$J,6,FALSE))</f>
        <v xml:space="preserve">Mainly Rural (rural including hub towns &gt;=80%) </v>
      </c>
      <c r="Y63">
        <f t="shared" si="4"/>
        <v>618.29999999999995</v>
      </c>
      <c r="Z63" s="40">
        <f>IF(Y63="","",IF(I$8="A",(RANK(Y63,Y$11:Y$343,1)+COUNTIF(Y$11:Y63,Y63)-1),(RANK(Y63,Y$11:Y$343)+COUNTIF(Y$11:Y63,Y63)-1)))</f>
        <v>20</v>
      </c>
      <c r="AA63" s="180" t="str">
        <f>IF(L63="","",VLOOKUP($L63,classifications!C:I,7,FALSE))</f>
        <v>Predominantly Rural</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Unitary</v>
      </c>
      <c r="AJ63" s="43">
        <f t="shared" si="5"/>
        <v>618.29999999999995</v>
      </c>
      <c r="AK63" s="40">
        <f>IF(AJ63="","",IF(I$8="A",(RANK(AJ63,AJ$11:AJ$343,1)+COUNTIF(AJ$11:AJ63,AJ63)-1),(RANK(AJ63,AJ$11:AJ$343)+COUNTIF(AJ$11:AJ63,AJ63)-1)))</f>
        <v>52</v>
      </c>
      <c r="AL63" s="3">
        <f t="shared" si="35"/>
        <v>53</v>
      </c>
      <c r="AM63" t="str">
        <f t="shared" si="30"/>
        <v>Slough</v>
      </c>
      <c r="AN63">
        <f t="shared" si="31"/>
        <v>660.8</v>
      </c>
      <c r="AP63" s="5" t="str">
        <f>IF(L63="","",VLOOKUP($L63,classifications!$C:$E,3,FALSE))</f>
        <v>South West</v>
      </c>
      <c r="AQ63" s="43" t="str">
        <f t="shared" si="17"/>
        <v/>
      </c>
      <c r="AR63" s="40" t="str">
        <f>IF(AQ63="","",IF(I$8="A",(RANK(AQ63,AQ$11:AQ$343,1)+COUNTIF(AQ$11:AQ63,AQ63)-1),(RANK(AQ63,AQ$11:AQ$343)+COUNTIF(AQ$11:AQ63,AQ63)-1)))</f>
        <v/>
      </c>
      <c r="AS63" s="3" t="str">
        <f t="shared" si="36"/>
        <v/>
      </c>
      <c r="AT63" s="40" t="str">
        <f t="shared" si="32"/>
        <v/>
      </c>
      <c r="AU63" s="43" t="str">
        <f t="shared" si="33"/>
        <v/>
      </c>
      <c r="AX63">
        <f>HLOOKUP($AX$9&amp;$AX$10,Data!$A$1:$ZZ$1980,(MATCH($C63,Data!$A$1:$A$1980,0)),FALSE)</f>
        <v>406.5</v>
      </c>
    </row>
    <row r="64" spans="1:50">
      <c r="A64" s="59" t="str">
        <f>$D$1&amp;54</f>
        <v>UA54</v>
      </c>
      <c r="B64" s="60">
        <f>IF(ISERROR(VLOOKUP(A64,classifications!A:C,3,FALSE)),0,VLOOKUP(A64,classifications!A:C,3,FALSE))</f>
        <v>0</v>
      </c>
      <c r="C64" t="s">
        <v>34</v>
      </c>
      <c r="D64" t="str">
        <f>VLOOKUP($C64,classifications!$C:$J,4,FALSE)</f>
        <v>SD</v>
      </c>
      <c r="E64">
        <f>VLOOKUP(C64,classifications!C:K,9,FALSE)</f>
        <v>0</v>
      </c>
      <c r="F64">
        <f t="shared" si="25"/>
        <v>407.2</v>
      </c>
      <c r="G64" s="15"/>
      <c r="H64" s="42" t="str">
        <f t="shared" si="26"/>
        <v/>
      </c>
      <c r="I64" s="79" t="str">
        <f>IF(H64="","",IF($I$8="A",(RANK(H64,H$11:H$343,1)+COUNTIF(H$11:H64,H64)-1),(RANK(H64,H$11:H$343)+COUNTIF(H$11:H64,H64)-1)))</f>
        <v/>
      </c>
      <c r="J64" s="41"/>
      <c r="K64" s="36">
        <f t="shared" si="34"/>
        <v>54</v>
      </c>
      <c r="L64" t="str">
        <f t="shared" si="27"/>
        <v>Slough</v>
      </c>
      <c r="M64" s="117">
        <f t="shared" si="28"/>
        <v>660.8</v>
      </c>
      <c r="N64" s="112">
        <f t="shared" si="23"/>
        <v>660.8</v>
      </c>
      <c r="O64" s="96" t="str">
        <f t="shared" si="11"/>
        <v/>
      </c>
      <c r="P64" s="96" t="str">
        <f t="shared" si="19"/>
        <v/>
      </c>
      <c r="Q64" s="96" t="str">
        <f t="shared" si="20"/>
        <v/>
      </c>
      <c r="R64" s="92">
        <f t="shared" si="21"/>
        <v>660.8</v>
      </c>
      <c r="S64" s="42" t="str">
        <f t="shared" si="12"/>
        <v/>
      </c>
      <c r="T64" s="167">
        <f>IF(L64="","",VLOOKUP(L64,classifications!C:K,9,FALSE))</f>
        <v>0</v>
      </c>
      <c r="U64" s="168" t="str">
        <f t="shared" si="29"/>
        <v/>
      </c>
      <c r="V64" s="174" t="str">
        <f>IF(U64="","",IF($I$8="A",(RANK(U64,U$11:U$343)+COUNTIF(U$11:U64,U64)-1),(RANK(U64,U$11:U$343,1)+COUNTIF(U$11:U64,U64)-1)))</f>
        <v/>
      </c>
      <c r="W64" s="175"/>
      <c r="X64" s="5" t="str">
        <f>IF(L64="","",VLOOKUP($L64,classifications!$C:$J,6,FALSE))</f>
        <v>Urban with City and Town</v>
      </c>
      <c r="Y64" t="str">
        <f t="shared" si="4"/>
        <v/>
      </c>
      <c r="Z64" s="40" t="str">
        <f>IF(Y64="","",IF(I$8="A",(RANK(Y64,Y$11:Y$343,1)+COUNTIF(Y$11:Y64,Y64)-1),(RANK(Y64,Y$11:Y$343)+COUNTIF(Y$11:Y64,Y64)-1)))</f>
        <v/>
      </c>
      <c r="AA64" s="180" t="str">
        <f>IF(L64="","",VLOOKUP($L64,classifications!C:I,7,FALSE))</f>
        <v>Predominantly Urban</v>
      </c>
      <c r="AB64" s="174" t="str">
        <f t="shared" si="14"/>
        <v/>
      </c>
      <c r="AC64" s="174" t="str">
        <f>IF(AB64="","",IF($I$8="A",(RANK(AB64,AB$11:AB$343)+COUNTIF(AB$11:AB64,AB64)-1),(RANK(AB64,AB$11:AB$343,1)+COUNTIF(AB$11:AB64,AB64)-1)))</f>
        <v/>
      </c>
      <c r="AD64" s="174"/>
      <c r="AE64" s="36" t="str">
        <f t="shared" si="24"/>
        <v/>
      </c>
      <c r="AG64" s="15"/>
      <c r="AH64" s="3"/>
      <c r="AI64" s="5" t="str">
        <f>IF(L64="","",VLOOKUP($L64,classifications!$C:$J,8,FALSE))</f>
        <v>Unitary</v>
      </c>
      <c r="AJ64" s="43">
        <f t="shared" si="5"/>
        <v>660.8</v>
      </c>
      <c r="AK64" s="40">
        <f>IF(AJ64="","",IF(I$8="A",(RANK(AJ64,AJ$11:AJ$343,1)+COUNTIF(AJ$11:AJ64,AJ64)-1),(RANK(AJ64,AJ$11:AJ$343)+COUNTIF(AJ$11:AJ64,AJ64)-1)))</f>
        <v>53</v>
      </c>
      <c r="AL64" s="3">
        <f t="shared" si="35"/>
        <v>54</v>
      </c>
      <c r="AM64" t="str">
        <f t="shared" si="30"/>
        <v>Luton</v>
      </c>
      <c r="AN64">
        <f t="shared" si="31"/>
        <v>664.8</v>
      </c>
      <c r="AP64" s="5" t="str">
        <f>IF(L64="","",VLOOKUP($L64,classifications!$C:$E,3,FALSE))</f>
        <v>South East</v>
      </c>
      <c r="AQ64" s="43" t="str">
        <f t="shared" si="17"/>
        <v/>
      </c>
      <c r="AR64" s="40" t="str">
        <f>IF(AQ64="","",IF(I$8="A",(RANK(AQ64,AQ$11:AQ$343,1)+COUNTIF(AQ$11:AQ64,AQ64)-1),(RANK(AQ64,AQ$11:AQ$343)+COUNTIF(AQ$11:AQ64,AQ64)-1)))</f>
        <v/>
      </c>
      <c r="AS64" s="3" t="str">
        <f t="shared" si="36"/>
        <v/>
      </c>
      <c r="AT64" s="40" t="str">
        <f t="shared" si="32"/>
        <v/>
      </c>
      <c r="AU64" s="43" t="str">
        <f t="shared" si="33"/>
        <v/>
      </c>
      <c r="AX64">
        <f>HLOOKUP($AX$9&amp;$AX$10,Data!$A$1:$ZZ$1980,(MATCH($C64,Data!$A$1:$A$1980,0)),FALSE)</f>
        <v>407.2</v>
      </c>
    </row>
    <row r="65" spans="1:50">
      <c r="A65" s="59" t="str">
        <f>$D$1&amp;55</f>
        <v>UA55</v>
      </c>
      <c r="B65" s="60">
        <f>IF(ISERROR(VLOOKUP(A65,classifications!A:C,3,FALSE)),0,VLOOKUP(A65,classifications!A:C,3,FALSE))</f>
        <v>0</v>
      </c>
      <c r="C65" t="s">
        <v>35</v>
      </c>
      <c r="D65" t="str">
        <f>VLOOKUP($C65,classifications!$C:$J,4,FALSE)</f>
        <v>SD</v>
      </c>
      <c r="E65">
        <f>VLOOKUP(C65,classifications!C:K,9,FALSE)</f>
        <v>0</v>
      </c>
      <c r="F65">
        <f t="shared" si="25"/>
        <v>392.7</v>
      </c>
      <c r="G65" s="15"/>
      <c r="H65" s="42" t="str">
        <f t="shared" si="26"/>
        <v/>
      </c>
      <c r="I65" s="79" t="str">
        <f>IF(H65="","",IF($I$8="A",(RANK(H65,H$11:H$343,1)+COUNTIF(H$11:H65,H65)-1),(RANK(H65,H$11:H$343)+COUNTIF(H$11:H65,H65)-1)))</f>
        <v/>
      </c>
      <c r="J65" s="41"/>
      <c r="K65" s="36">
        <f t="shared" si="34"/>
        <v>55</v>
      </c>
      <c r="L65" t="str">
        <f t="shared" si="27"/>
        <v>Luton</v>
      </c>
      <c r="M65" s="117">
        <f t="shared" si="28"/>
        <v>664.8</v>
      </c>
      <c r="N65" s="112">
        <f t="shared" si="23"/>
        <v>664.8</v>
      </c>
      <c r="O65" s="96" t="str">
        <f t="shared" si="11"/>
        <v/>
      </c>
      <c r="P65" s="96" t="str">
        <f t="shared" si="19"/>
        <v/>
      </c>
      <c r="Q65" s="96" t="str">
        <f t="shared" si="20"/>
        <v/>
      </c>
      <c r="R65" s="92">
        <f t="shared" si="21"/>
        <v>664.8</v>
      </c>
      <c r="S65" s="42" t="str">
        <f t="shared" si="12"/>
        <v/>
      </c>
      <c r="T65" s="167">
        <f>IF(L65="","",VLOOKUP(L65,classifications!C:K,9,FALSE))</f>
        <v>0</v>
      </c>
      <c r="U65" s="168" t="str">
        <f t="shared" si="29"/>
        <v/>
      </c>
      <c r="V65" s="174" t="str">
        <f>IF(U65="","",IF($I$8="A",(RANK(U65,U$11:U$343)+COUNTIF(U$11:U65,U65)-1),(RANK(U65,U$11:U$343,1)+COUNTIF(U$11:U65,U65)-1)))</f>
        <v/>
      </c>
      <c r="W65" s="175"/>
      <c r="X65" s="5" t="str">
        <f>IF(L65="","",VLOOKUP($L65,classifications!$C:$J,6,FALSE))</f>
        <v>Urban with City and Town</v>
      </c>
      <c r="Y65" t="str">
        <f t="shared" si="4"/>
        <v/>
      </c>
      <c r="Z65" s="40" t="str">
        <f>IF(Y65="","",IF(I$8="A",(RANK(Y65,Y$11:Y$343,1)+COUNTIF(Y$11:Y65,Y65)-1),(RANK(Y65,Y$11:Y$343)+COUNTIF(Y$11:Y65,Y65)-1)))</f>
        <v/>
      </c>
      <c r="AA65" s="180" t="str">
        <f>IF(L65="","",VLOOKUP($L65,classifications!C:I,7,FALSE))</f>
        <v>Predominantly Urban</v>
      </c>
      <c r="AB65" s="174" t="str">
        <f t="shared" si="14"/>
        <v/>
      </c>
      <c r="AC65" s="174" t="str">
        <f>IF(AB65="","",IF($I$8="A",(RANK(AB65,AB$11:AB$343)+COUNTIF(AB$11:AB65,AB65)-1),(RANK(AB65,AB$11:AB$343,1)+COUNTIF(AB$11:AB65,AB65)-1)))</f>
        <v/>
      </c>
      <c r="AD65" s="174"/>
      <c r="AE65" s="36" t="str">
        <f t="shared" si="24"/>
        <v/>
      </c>
      <c r="AG65" s="15"/>
      <c r="AH65" s="3"/>
      <c r="AI65" s="5" t="str">
        <f>IF(L65="","",VLOOKUP($L65,classifications!$C:$J,8,FALSE))</f>
        <v>Unitary</v>
      </c>
      <c r="AJ65" s="43">
        <f t="shared" si="5"/>
        <v>664.8</v>
      </c>
      <c r="AK65" s="40">
        <f>IF(AJ65="","",IF(I$8="A",(RANK(AJ65,AJ$11:AJ$343,1)+COUNTIF(AJ$11:AJ65,AJ65)-1),(RANK(AJ65,AJ$11:AJ$343)+COUNTIF(AJ$11:AJ65,AJ65)-1)))</f>
        <v>54</v>
      </c>
      <c r="AL65" s="3">
        <f t="shared" si="35"/>
        <v>55</v>
      </c>
      <c r="AM65" t="str">
        <f t="shared" si="30"/>
        <v>Stockton-on-Tees</v>
      </c>
      <c r="AN65">
        <f t="shared" si="31"/>
        <v>693.5</v>
      </c>
      <c r="AP65" s="5" t="str">
        <f>IF(L65="","",VLOOKUP($L65,classifications!$C:$E,3,FALSE))</f>
        <v>East of England</v>
      </c>
      <c r="AQ65" s="43" t="str">
        <f t="shared" si="17"/>
        <v/>
      </c>
      <c r="AR65" s="40" t="str">
        <f>IF(AQ65="","",IF(I$8="A",(RANK(AQ65,AQ$11:AQ$343,1)+COUNTIF(AQ$11:AQ65,AQ65)-1),(RANK(AQ65,AQ$11:AQ$343)+COUNTIF(AQ$11:AQ65,AQ65)-1)))</f>
        <v/>
      </c>
      <c r="AS65" s="3" t="str">
        <f t="shared" si="36"/>
        <v/>
      </c>
      <c r="AT65" s="40" t="str">
        <f t="shared" si="32"/>
        <v/>
      </c>
      <c r="AU65" s="43" t="str">
        <f t="shared" si="33"/>
        <v/>
      </c>
      <c r="AX65">
        <f>HLOOKUP($AX$9&amp;$AX$10,Data!$A$1:$ZZ$1980,(MATCH($C65,Data!$A$1:$A$1980,0)),FALSE)</f>
        <v>392.7</v>
      </c>
    </row>
    <row r="66" spans="1:50">
      <c r="A66" s="59" t="str">
        <f>$D$1&amp;56</f>
        <v>UA56</v>
      </c>
      <c r="B66" s="60">
        <f>IF(ISERROR(VLOOKUP(A66,classifications!A:C,3,FALSE)),0,VLOOKUP(A66,classifications!A:C,3,FALSE))</f>
        <v>0</v>
      </c>
      <c r="C66" t="s">
        <v>305</v>
      </c>
      <c r="D66" t="str">
        <f>VLOOKUP($C66,classifications!$C:$J,4,FALSE)</f>
        <v>UA</v>
      </c>
      <c r="E66" t="str">
        <f>VLOOKUP(C66,classifications!C:K,9,FALSE)</f>
        <v>Sparse</v>
      </c>
      <c r="F66">
        <f t="shared" si="25"/>
        <v>467.1</v>
      </c>
      <c r="G66" s="15"/>
      <c r="H66" s="42">
        <f t="shared" si="26"/>
        <v>467.1</v>
      </c>
      <c r="I66" s="79">
        <f>IF(H66="","",IF($I$8="A",(RANK(H66,H$11:H$343,1)+COUNTIF(H$11:H66,H66)-1),(RANK(H66,H$11:H$343)+COUNTIF(H$11:H66,H66)-1)))</f>
        <v>14</v>
      </c>
      <c r="J66" s="41"/>
      <c r="K66" s="36">
        <f t="shared" si="34"/>
        <v>56</v>
      </c>
      <c r="L66" t="str">
        <f t="shared" si="27"/>
        <v>Stockton-on-Tees</v>
      </c>
      <c r="M66" s="117">
        <f t="shared" si="28"/>
        <v>693.5</v>
      </c>
      <c r="N66" s="112">
        <f t="shared" si="23"/>
        <v>693.5</v>
      </c>
      <c r="O66" s="96" t="str">
        <f t="shared" si="11"/>
        <v/>
      </c>
      <c r="P66" s="96" t="str">
        <f t="shared" si="19"/>
        <v/>
      </c>
      <c r="Q66" s="96" t="str">
        <f t="shared" si="20"/>
        <v/>
      </c>
      <c r="R66" s="92">
        <f t="shared" si="21"/>
        <v>693.5</v>
      </c>
      <c r="S66" s="42" t="str">
        <f t="shared" si="12"/>
        <v/>
      </c>
      <c r="T66" s="167">
        <f>IF(L66="","",VLOOKUP(L66,classifications!C:K,9,FALSE))</f>
        <v>0</v>
      </c>
      <c r="U66" s="168" t="str">
        <f t="shared" si="29"/>
        <v/>
      </c>
      <c r="V66" s="174" t="str">
        <f>IF(U66="","",IF($I$8="A",(RANK(U66,U$11:U$343)+COUNTIF(U$11:U66,U66)-1),(RANK(U66,U$11:U$343,1)+COUNTIF(U$11:U66,U66)-1)))</f>
        <v/>
      </c>
      <c r="W66" s="175"/>
      <c r="X66" s="5" t="str">
        <f>IF(L66="","",VLOOKUP($L66,classifications!$C:$J,6,FALSE))</f>
        <v>Urban with City and Town</v>
      </c>
      <c r="Y66" t="str">
        <f t="shared" si="4"/>
        <v/>
      </c>
      <c r="Z66" s="40" t="str">
        <f>IF(Y66="","",IF(I$8="A",(RANK(Y66,Y$11:Y$343,1)+COUNTIF(Y$11:Y66,Y66)-1),(RANK(Y66,Y$11:Y$343)+COUNTIF(Y$11:Y66,Y66)-1)))</f>
        <v/>
      </c>
      <c r="AA66" s="180" t="str">
        <f>IF(L66="","",VLOOKUP($L66,classifications!C:I,7,FALSE))</f>
        <v>Predominantly Urban</v>
      </c>
      <c r="AB66" s="174" t="str">
        <f t="shared" si="14"/>
        <v/>
      </c>
      <c r="AC66" s="174" t="str">
        <f>IF(AB66="","",IF($I$8="A",(RANK(AB66,AB$11:AB$343)+COUNTIF(AB$11:AB66,AB66)-1),(RANK(AB66,AB$11:AB$343,1)+COUNTIF(AB$11:AB66,AB66)-1)))</f>
        <v/>
      </c>
      <c r="AD66" s="174"/>
      <c r="AE66" s="36" t="str">
        <f t="shared" si="24"/>
        <v/>
      </c>
      <c r="AG66" s="15"/>
      <c r="AH66" s="3"/>
      <c r="AI66" s="5" t="str">
        <f>IF(L66="","",VLOOKUP($L66,classifications!$C:$J,8,FALSE))</f>
        <v>Unitary</v>
      </c>
      <c r="AJ66" s="43">
        <f t="shared" si="5"/>
        <v>693.5</v>
      </c>
      <c r="AK66" s="40">
        <f>IF(AJ66="","",IF(I$8="A",(RANK(AJ66,AJ$11:AJ$343,1)+COUNTIF(AJ$11:AJ66,AJ66)-1),(RANK(AJ66,AJ$11:AJ$343)+COUNTIF(AJ$11:AJ66,AJ66)-1)))</f>
        <v>55</v>
      </c>
      <c r="AL66" s="3">
        <f t="shared" si="35"/>
        <v>56</v>
      </c>
      <c r="AM66" t="str">
        <f t="shared" si="30"/>
        <v>Thurrock</v>
      </c>
      <c r="AN66">
        <f t="shared" si="31"/>
        <v>698.2</v>
      </c>
      <c r="AP66" s="5" t="str">
        <f>IF(L66="","",VLOOKUP($L66,classifications!$C:$E,3,FALSE))</f>
        <v>NE</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467.1</v>
      </c>
    </row>
    <row r="67" spans="1:50">
      <c r="A67" s="59" t="str">
        <f>$D$1&amp;57</f>
        <v>UA57</v>
      </c>
      <c r="B67" s="60">
        <f>IF(ISERROR(VLOOKUP(A67,classifications!A:C,3,FALSE)),0,VLOOKUP(A67,classifications!A:C,3,FALSE))</f>
        <v>0</v>
      </c>
      <c r="C67" t="s">
        <v>814</v>
      </c>
      <c r="D67" t="str">
        <f>VLOOKUP($C67,classifications!$C:$J,4,FALSE)</f>
        <v>UA</v>
      </c>
      <c r="E67">
        <f>VLOOKUP(C67,classifications!C:K,9,FALSE)</f>
        <v>0</v>
      </c>
      <c r="F67">
        <f t="shared" si="25"/>
        <v>413.3</v>
      </c>
      <c r="G67" s="15"/>
      <c r="H67" s="42">
        <f t="shared" si="26"/>
        <v>413.3</v>
      </c>
      <c r="I67" s="79">
        <f>IF(H67="","",IF($I$8="A",(RANK(H67,H$11:H$343,1)+COUNTIF(H$11:H67,H67)-1),(RANK(H67,H$11:H$343)+COUNTIF(H$11:H67,H67)-1)))</f>
        <v>9</v>
      </c>
      <c r="J67" s="41"/>
      <c r="K67" s="36">
        <f t="shared" si="34"/>
        <v>57</v>
      </c>
      <c r="L67" t="str">
        <f t="shared" si="27"/>
        <v>Thurrock</v>
      </c>
      <c r="M67" s="117">
        <f t="shared" si="28"/>
        <v>698.2</v>
      </c>
      <c r="N67" s="112">
        <f t="shared" si="23"/>
        <v>698.2</v>
      </c>
      <c r="O67" s="96" t="str">
        <f t="shared" si="11"/>
        <v/>
      </c>
      <c r="P67" s="96" t="str">
        <f t="shared" si="19"/>
        <v/>
      </c>
      <c r="Q67" s="96" t="str">
        <f t="shared" si="20"/>
        <v/>
      </c>
      <c r="R67" s="92">
        <f t="shared" si="21"/>
        <v>698.2</v>
      </c>
      <c r="S67" s="42" t="str">
        <f t="shared" si="12"/>
        <v/>
      </c>
      <c r="T67" s="167">
        <f>IF(L67="","",VLOOKUP(L67,classifications!C:K,9,FALSE))</f>
        <v>0</v>
      </c>
      <c r="U67" s="168" t="str">
        <f t="shared" si="29"/>
        <v/>
      </c>
      <c r="V67" s="174" t="str">
        <f>IF(U67="","",IF($I$8="A",(RANK(U67,U$11:U$343)+COUNTIF(U$11:U67,U67)-1),(RANK(U67,U$11:U$343,1)+COUNTIF(U$11:U67,U67)-1)))</f>
        <v/>
      </c>
      <c r="W67" s="175"/>
      <c r="X67" s="5" t="str">
        <f>IF(L67="","",VLOOKUP($L67,classifications!$C:$J,6,FALSE))</f>
        <v>Urban with Major Conurbation</v>
      </c>
      <c r="Y67" t="str">
        <f t="shared" si="4"/>
        <v/>
      </c>
      <c r="Z67" s="40" t="str">
        <f>IF(Y67="","",IF(I$8="A",(RANK(Y67,Y$11:Y$343,1)+COUNTIF(Y$11:Y67,Y67)-1),(RANK(Y67,Y$11:Y$343)+COUNTIF(Y$11:Y67,Y67)-1)))</f>
        <v/>
      </c>
      <c r="AA67" s="180" t="str">
        <f>IF(L67="","",VLOOKUP($L67,classifications!C:I,7,FALSE))</f>
        <v>Predominantly Urban</v>
      </c>
      <c r="AB67" s="174" t="str">
        <f t="shared" si="14"/>
        <v/>
      </c>
      <c r="AC67" s="174" t="str">
        <f>IF(AB67="","",IF($I$8="A",(RANK(AB67,AB$11:AB$343)+COUNTIF(AB$11:AB67,AB67)-1),(RANK(AB67,AB$11:AB$343,1)+COUNTIF(AB$11:AB67,AB67)-1)))</f>
        <v/>
      </c>
      <c r="AD67" s="174"/>
      <c r="AE67" s="36" t="str">
        <f t="shared" ref="AE67:AE85" si="37">IF(AE66="","",IF(AE66+1&gt;(COUNT(AG:AG)),"",AE66+1))</f>
        <v/>
      </c>
      <c r="AG67" s="15"/>
      <c r="AH67" s="3"/>
      <c r="AI67" s="5" t="str">
        <f>IF(L67="","",VLOOKUP($L67,classifications!$C:$J,8,FALSE))</f>
        <v>Unitary</v>
      </c>
      <c r="AJ67" s="43">
        <f t="shared" si="5"/>
        <v>698.2</v>
      </c>
      <c r="AK67" s="40">
        <f>IF(AJ67="","",IF(I$8="A",(RANK(AJ67,AJ$11:AJ$343,1)+COUNTIF(AJ$11:AJ67,AJ67)-1),(RANK(AJ67,AJ$11:AJ$343)+COUNTIF(AJ$11:AJ67,AJ67)-1)))</f>
        <v>56</v>
      </c>
      <c r="AL67" s="3">
        <f t="shared" si="35"/>
        <v>57</v>
      </c>
      <c r="AM67" t="str">
        <f t="shared" si="30"/>
        <v>Middlesbrough</v>
      </c>
      <c r="AN67">
        <f t="shared" si="31"/>
        <v>759.1</v>
      </c>
      <c r="AP67" s="5" t="str">
        <f>IF(L67="","",VLOOKUP($L67,classifications!$C:$E,3,FALSE))</f>
        <v>East of England</v>
      </c>
      <c r="AQ67" s="43" t="str">
        <f t="shared" si="17"/>
        <v/>
      </c>
      <c r="AR67" s="40" t="str">
        <f>IF(AQ67="","",IF(I$8="A",(RANK(AQ67,AQ$11:AQ$343,1)+COUNTIF(AQ$11:AQ67,AQ67)-1),(RANK(AQ67,AQ$11:AQ$343)+COUNTIF(AQ$11:AQ67,AQ67)-1)))</f>
        <v/>
      </c>
      <c r="AS67" s="3" t="str">
        <f t="shared" si="36"/>
        <v/>
      </c>
      <c r="AT67" s="40" t="str">
        <f t="shared" si="32"/>
        <v/>
      </c>
      <c r="AU67" s="43" t="str">
        <f t="shared" si="33"/>
        <v/>
      </c>
      <c r="AX67">
        <f>HLOOKUP($AX$9&amp;$AX$10,Data!$A$1:$ZZ$1980,(MATCH($C67,Data!$A$1:$A$1980,0)),FALSE)</f>
        <v>413.3</v>
      </c>
    </row>
    <row r="68" spans="1:50">
      <c r="A68" s="59" t="str">
        <f>$D$1&amp;58</f>
        <v>UA58</v>
      </c>
      <c r="B68" s="60">
        <f>IF(ISERROR(VLOOKUP(A68,classifications!A:C,3,FALSE)),0,VLOOKUP(A68,classifications!A:C,3,FALSE))</f>
        <v>0</v>
      </c>
      <c r="C68" t="s">
        <v>36</v>
      </c>
      <c r="D68" t="str">
        <f>VLOOKUP($C68,classifications!$C:$J,4,FALSE)</f>
        <v>SD</v>
      </c>
      <c r="E68">
        <f>VLOOKUP(C68,classifications!C:K,9,FALSE)</f>
        <v>0</v>
      </c>
      <c r="F68">
        <f t="shared" si="25"/>
        <v>446.2</v>
      </c>
      <c r="G68" s="15"/>
      <c r="H68" s="42" t="str">
        <f t="shared" si="26"/>
        <v/>
      </c>
      <c r="I68" s="79" t="str">
        <f>IF(H68="","",IF($I$8="A",(RANK(H68,H$11:H$343,1)+COUNTIF(H$11:H68,H68)-1),(RANK(H68,H$11:H$343)+COUNTIF(H$11:H68,H68)-1)))</f>
        <v/>
      </c>
      <c r="J68" s="41"/>
      <c r="K68" s="36">
        <f t="shared" si="34"/>
        <v>58</v>
      </c>
      <c r="L68" t="str">
        <f t="shared" si="27"/>
        <v>Middlesbrough</v>
      </c>
      <c r="M68" s="117">
        <f t="shared" si="28"/>
        <v>759.1</v>
      </c>
      <c r="N68" s="112">
        <f t="shared" si="23"/>
        <v>759.1</v>
      </c>
      <c r="O68" s="96" t="str">
        <f t="shared" si="11"/>
        <v/>
      </c>
      <c r="P68" s="96" t="str">
        <f t="shared" si="19"/>
        <v/>
      </c>
      <c r="Q68" s="96" t="str">
        <f t="shared" si="20"/>
        <v/>
      </c>
      <c r="R68" s="92">
        <f t="shared" si="21"/>
        <v>759.1</v>
      </c>
      <c r="S68" s="42" t="str">
        <f t="shared" si="12"/>
        <v/>
      </c>
      <c r="T68" s="167">
        <f>IF(L68="","",VLOOKUP(L68,classifications!C:K,9,FALSE))</f>
        <v>0</v>
      </c>
      <c r="U68" s="168" t="str">
        <f t="shared" si="29"/>
        <v/>
      </c>
      <c r="V68" s="174" t="str">
        <f>IF(U68="","",IF($I$8="A",(RANK(U68,U$11:U$343)+COUNTIF(U$11:U68,U68)-1),(RANK(U68,U$11:U$343,1)+COUNTIF(U$11:U68,U68)-1)))</f>
        <v/>
      </c>
      <c r="W68" s="175"/>
      <c r="X68" s="5" t="str">
        <f>IF(L68="","",VLOOKUP($L68,classifications!$C:$J,6,FALSE))</f>
        <v>Urban with City and Town</v>
      </c>
      <c r="Y68" t="str">
        <f t="shared" si="4"/>
        <v/>
      </c>
      <c r="Z68" s="40" t="str">
        <f>IF(Y68="","",IF(I$8="A",(RANK(Y68,Y$11:Y$343,1)+COUNTIF(Y$11:Y68,Y68)-1),(RANK(Y68,Y$11:Y$343)+COUNTIF(Y$11:Y68,Y68)-1)))</f>
        <v/>
      </c>
      <c r="AA68" s="180" t="str">
        <f>IF(L68="","",VLOOKUP($L68,classifications!C:I,7,FALSE))</f>
        <v>Predominantly Urban</v>
      </c>
      <c r="AB68" s="174" t="str">
        <f t="shared" si="14"/>
        <v/>
      </c>
      <c r="AC68" s="174" t="str">
        <f>IF(AB68="","",IF($I$8="A",(RANK(AB68,AB$11:AB$343)+COUNTIF(AB$11:AB68,AB68)-1),(RANK(AB68,AB$11:AB$343,1)+COUNTIF(AB$11:AB68,AB68)-1)))</f>
        <v/>
      </c>
      <c r="AD68" s="174"/>
      <c r="AE68" s="36" t="str">
        <f t="shared" si="37"/>
        <v/>
      </c>
      <c r="AG68" s="15"/>
      <c r="AH68" s="3"/>
      <c r="AI68" s="5" t="str">
        <f>IF(L68="","",VLOOKUP($L68,classifications!$C:$J,8,FALSE))</f>
        <v>Unitary</v>
      </c>
      <c r="AJ68" s="43">
        <f t="shared" si="5"/>
        <v>759.1</v>
      </c>
      <c r="AK68" s="40">
        <f>IF(AJ68="","",IF(I$8="A",(RANK(AJ68,AJ$11:AJ$343,1)+COUNTIF(AJ$11:AJ68,AJ68)-1),(RANK(AJ68,AJ$11:AJ$343)+COUNTIF(AJ$11:AJ68,AJ68)-1)))</f>
        <v>57</v>
      </c>
      <c r="AL68" s="3" t="str">
        <f t="shared" si="35"/>
        <v/>
      </c>
      <c r="AM68" t="str">
        <f t="shared" si="30"/>
        <v/>
      </c>
      <c r="AN68" t="str">
        <f t="shared" si="31"/>
        <v/>
      </c>
      <c r="AP68" s="5" t="str">
        <f>IF(L68="","",VLOOKUP($L68,classifications!$C:$E,3,FALSE))</f>
        <v>NE</v>
      </c>
      <c r="AQ68" s="43" t="str">
        <f t="shared" si="17"/>
        <v/>
      </c>
      <c r="AR68" s="40" t="str">
        <f>IF(AQ68="","",IF(I$8="A",(RANK(AQ68,AQ$11:AQ$343,1)+COUNTIF(AQ$11:AQ68,AQ68)-1),(RANK(AQ68,AQ$11:AQ$343)+COUNTIF(AQ$11:AQ68,AQ68)-1)))</f>
        <v/>
      </c>
      <c r="AS68" s="3" t="str">
        <f t="shared" si="36"/>
        <v/>
      </c>
      <c r="AT68" s="40" t="str">
        <f t="shared" si="32"/>
        <v/>
      </c>
      <c r="AU68" s="43" t="str">
        <f t="shared" si="33"/>
        <v/>
      </c>
      <c r="AX68">
        <f>HLOOKUP($AX$9&amp;$AX$10,Data!$A$1:$ZZ$1980,(MATCH($C68,Data!$A$1:$A$1980,0)),FALSE)</f>
        <v>446.2</v>
      </c>
    </row>
    <row r="69" spans="1:50">
      <c r="A69" s="59" t="str">
        <f>$D$1&amp;59</f>
        <v>UA59</v>
      </c>
      <c r="B69" s="60">
        <f>IF(ISERROR(VLOOKUP(A69,classifications!A:C,3,FALSE)),0,VLOOKUP(A69,classifications!A:C,3,FALSE))</f>
        <v>0</v>
      </c>
      <c r="C69" t="s">
        <v>37</v>
      </c>
      <c r="D69" t="str">
        <f>VLOOKUP($C69,classifications!$C:$J,4,FALSE)</f>
        <v>SD</v>
      </c>
      <c r="E69" t="str">
        <f>VLOOKUP(C69,classifications!C:K,9,FALSE)</f>
        <v>Sparse</v>
      </c>
      <c r="F69">
        <f t="shared" si="25"/>
        <v>411.3</v>
      </c>
      <c r="G69" s="15"/>
      <c r="H69" s="42" t="str">
        <f t="shared" si="26"/>
        <v/>
      </c>
      <c r="I69" s="79" t="str">
        <f>IF(H69="","",IF($I$8="A",(RANK(H69,H$11:H$343,1)+COUNTIF(H$11:H69,H69)-1),(RANK(H69,H$11:H$343)+COUNTIF(H$11:H69,H69)-1)))</f>
        <v/>
      </c>
      <c r="J69" s="41"/>
      <c r="K69" s="36" t="str">
        <f t="shared" si="34"/>
        <v/>
      </c>
      <c r="L69" t="str">
        <f t="shared" si="27"/>
        <v/>
      </c>
      <c r="M69" s="117" t="str">
        <f t="shared" si="28"/>
        <v/>
      </c>
      <c r="N69" s="112" t="str">
        <f t="shared" si="23"/>
        <v/>
      </c>
      <c r="O69" s="96" t="str">
        <f t="shared" si="11"/>
        <v/>
      </c>
      <c r="P69" s="96" t="str">
        <f t="shared" si="19"/>
        <v/>
      </c>
      <c r="Q69" s="96" t="str">
        <f t="shared" si="20"/>
        <v/>
      </c>
      <c r="R69" s="92" t="str">
        <f t="shared" si="21"/>
        <v/>
      </c>
      <c r="S69" s="42" t="str">
        <f t="shared" si="12"/>
        <v/>
      </c>
      <c r="T69" s="167" t="str">
        <f>IF(L69="","",VLOOKUP(L69,classifications!C:K,9,FALSE))</f>
        <v/>
      </c>
      <c r="U69" s="168" t="str">
        <f t="shared" si="29"/>
        <v/>
      </c>
      <c r="V69" s="174" t="str">
        <f>IF(U69="","",IF($I$8="A",(RANK(U69,U$11:U$343)+COUNTIF(U$11:U69,U69)-1),(RANK(U69,U$11:U$343,1)+COUNTIF(U$11:U69,U69)-1)))</f>
        <v/>
      </c>
      <c r="W69" s="175"/>
      <c r="X69" s="5" t="str">
        <f>IF(L69="","",VLOOKUP($L69,classifications!$C:$J,6,FALSE))</f>
        <v/>
      </c>
      <c r="Y69" t="str">
        <f t="shared" si="4"/>
        <v/>
      </c>
      <c r="Z69" s="40" t="str">
        <f>IF(Y69="","",IF(I$8="A",(RANK(Y69,Y$11:Y$343,1)+COUNTIF(Y$11:Y69,Y69)-1),(RANK(Y69,Y$11:Y$343)+COUNTIF(Y$11:Y69,Y69)-1)))</f>
        <v/>
      </c>
      <c r="AA69" s="180" t="str">
        <f>IF(L69="","",VLOOKUP($L69,classifications!C:I,7,FALSE))</f>
        <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
      </c>
      <c r="AQ69" s="43" t="str">
        <f t="shared" si="17"/>
        <v/>
      </c>
      <c r="AR69" s="40" t="str">
        <f>IF(AQ69="","",IF(I$8="A",(RANK(AQ69,AQ$11:AQ$343,1)+COUNTIF(AQ$11:AQ69,AQ69)-1),(RANK(AQ69,AQ$11:AQ$343)+COUNTIF(AQ$11:AQ69,AQ69)-1)))</f>
        <v/>
      </c>
      <c r="AS69" s="3" t="str">
        <f t="shared" si="36"/>
        <v/>
      </c>
      <c r="AT69" s="40" t="str">
        <f t="shared" si="32"/>
        <v/>
      </c>
      <c r="AU69" s="43" t="str">
        <f t="shared" si="33"/>
        <v/>
      </c>
      <c r="AX69">
        <f>HLOOKUP($AX$9&amp;$AX$10,Data!$A$1:$ZZ$1980,(MATCH($C69,Data!$A$1:$A$1980,0)),FALSE)</f>
        <v>411.3</v>
      </c>
    </row>
    <row r="70" spans="1:50">
      <c r="A70" s="59" t="str">
        <f>$D$1&amp;60</f>
        <v>UA60</v>
      </c>
      <c r="B70" s="60">
        <f>IF(ISERROR(VLOOKUP(A70,classifications!A:C,3,FALSE)),0,VLOOKUP(A70,classifications!A:C,3,FALSE))</f>
        <v>0</v>
      </c>
      <c r="C70" t="s">
        <v>904</v>
      </c>
      <c r="D70" t="str">
        <f>VLOOKUP($C70,classifications!$C:$J,4,FALSE)</f>
        <v>UA</v>
      </c>
      <c r="E70">
        <f>VLOOKUP(C70,classifications!C:K,9,FALSE)</f>
        <v>0</v>
      </c>
      <c r="F70">
        <f t="shared" si="25"/>
        <v>526.29999999999995</v>
      </c>
      <c r="G70" s="15"/>
      <c r="H70" s="42">
        <f t="shared" si="26"/>
        <v>526.29999999999995</v>
      </c>
      <c r="I70" s="79">
        <f>IF(H70="","",IF($I$8="A",(RANK(H70,H$11:H$343,1)+COUNTIF(H$11:H70,H70)-1),(RANK(H70,H$11:H$343)+COUNTIF(H$11:H70,H70)-1)))</f>
        <v>28</v>
      </c>
      <c r="J70" s="41"/>
      <c r="K70" s="36" t="str">
        <f t="shared" si="34"/>
        <v/>
      </c>
      <c r="L70" t="str">
        <f t="shared" si="27"/>
        <v/>
      </c>
      <c r="M70" s="117" t="str">
        <f t="shared" si="28"/>
        <v/>
      </c>
      <c r="N70" s="112" t="str">
        <f t="shared" si="23"/>
        <v/>
      </c>
      <c r="O70" s="96" t="str">
        <f t="shared" si="11"/>
        <v/>
      </c>
      <c r="P70" s="96" t="str">
        <f t="shared" si="19"/>
        <v/>
      </c>
      <c r="Q70" s="96" t="str">
        <f t="shared" si="20"/>
        <v/>
      </c>
      <c r="R70" s="92" t="str">
        <f t="shared" si="21"/>
        <v/>
      </c>
      <c r="S70" s="42" t="str">
        <f t="shared" si="12"/>
        <v/>
      </c>
      <c r="T70" s="167" t="str">
        <f>IF(L70="","",VLOOKUP(L70,classifications!C:K,9,FALSE))</f>
        <v/>
      </c>
      <c r="U70" s="168" t="str">
        <f t="shared" si="29"/>
        <v/>
      </c>
      <c r="V70" s="174" t="str">
        <f>IF(U70="","",IF($I$8="A",(RANK(U70,U$11:U$343)+COUNTIF(U$11:U70,U70)-1),(RANK(U70,U$11:U$343,1)+COUNTIF(U$11:U70,U70)-1)))</f>
        <v/>
      </c>
      <c r="W70" s="175"/>
      <c r="X70" s="5" t="str">
        <f>IF(L70="","",VLOOKUP($L70,classifications!$C:$J,6,FALSE))</f>
        <v/>
      </c>
      <c r="Y70" t="str">
        <f t="shared" si="4"/>
        <v/>
      </c>
      <c r="Z70" s="40" t="str">
        <f>IF(Y70="","",IF(I$8="A",(RANK(Y70,Y$11:Y$343,1)+COUNTIF(Y$11:Y70,Y70)-1),(RANK(Y70,Y$11:Y$343)+COUNTIF(Y$11:Y70,Y70)-1)))</f>
        <v/>
      </c>
      <c r="AA70" s="180" t="str">
        <f>IF(L70="","",VLOOKUP($L70,classifications!C:I,7,FALSE))</f>
        <v/>
      </c>
      <c r="AB70" s="174" t="str">
        <f t="shared" si="14"/>
        <v/>
      </c>
      <c r="AC70" s="174" t="str">
        <f>IF(AB70="","",IF($I$8="A",(RANK(AB70,AB$11:AB$343)+COUNTIF(AB$11:AB70,AB70)-1),(RANK(AB70,AB$11:AB$343,1)+COUNTIF(AB$11:AB70,AB70)-1)))</f>
        <v/>
      </c>
      <c r="AD70" s="174"/>
      <c r="AE70" s="36" t="str">
        <f t="shared" si="37"/>
        <v/>
      </c>
      <c r="AG70" s="15"/>
      <c r="AH70" s="3"/>
      <c r="AI70" s="5" t="str">
        <f>IF(L70="","",VLOOKUP($L70,classifications!$C:$J,8,FALSE))</f>
        <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526.29999999999995</v>
      </c>
    </row>
    <row r="71" spans="1:50">
      <c r="A71" s="59" t="str">
        <f>$D$1&amp;61</f>
        <v>UA61</v>
      </c>
      <c r="B71" s="60">
        <f>IF(ISERROR(VLOOKUP(A71,classifications!A:C,3,FALSE)),0,VLOOKUP(A71,classifications!A:C,3,FALSE))</f>
        <v>0</v>
      </c>
      <c r="C71" t="s">
        <v>39</v>
      </c>
      <c r="D71" t="str">
        <f>VLOOKUP($C71,classifications!$C:$J,4,FALSE)</f>
        <v>SD</v>
      </c>
      <c r="E71">
        <f>VLOOKUP(C71,classifications!C:K,9,FALSE)</f>
        <v>0</v>
      </c>
      <c r="F71">
        <f t="shared" si="25"/>
        <v>443</v>
      </c>
      <c r="G71" s="15"/>
      <c r="H71" s="42" t="str">
        <f t="shared" si="26"/>
        <v/>
      </c>
      <c r="I71" s="79" t="str">
        <f>IF(H71="","",IF($I$8="A",(RANK(H71,H$11:H$343,1)+COUNTIF(H$11:H71,H71)-1),(RANK(H71,H$11:H$343)+COUNTIF(H$11:H71,H71)-1)))</f>
        <v/>
      </c>
      <c r="J71" s="41"/>
      <c r="K71" s="36" t="str">
        <f t="shared" si="34"/>
        <v/>
      </c>
      <c r="L71" t="str">
        <f t="shared" si="27"/>
        <v/>
      </c>
      <c r="M71" s="117" t="str">
        <f t="shared" si="28"/>
        <v/>
      </c>
      <c r="N71" s="112" t="str">
        <f t="shared" si="23"/>
        <v/>
      </c>
      <c r="O71" s="96" t="str">
        <f t="shared" si="11"/>
        <v/>
      </c>
      <c r="P71" s="96" t="str">
        <f t="shared" si="19"/>
        <v/>
      </c>
      <c r="Q71" s="96" t="str">
        <f t="shared" si="20"/>
        <v/>
      </c>
      <c r="R71" s="92" t="str">
        <f t="shared" si="21"/>
        <v/>
      </c>
      <c r="S71" s="42" t="str">
        <f t="shared" si="12"/>
        <v/>
      </c>
      <c r="T71" s="167" t="str">
        <f>IF(L71="","",VLOOKUP(L71,classifications!C:K,9,FALSE))</f>
        <v/>
      </c>
      <c r="U71" s="168" t="str">
        <f t="shared" si="29"/>
        <v/>
      </c>
      <c r="V71" s="174" t="str">
        <f>IF(U71="","",IF($I$8="A",(RANK(U71,U$11:U$343)+COUNTIF(U$11:U71,U71)-1),(RANK(U71,U$11:U$343,1)+COUNTIF(U$11:U71,U71)-1)))</f>
        <v/>
      </c>
      <c r="W71" s="175"/>
      <c r="X71" s="5" t="str">
        <f>IF(L71="","",VLOOKUP($L71,classifications!$C:$J,6,FALSE))</f>
        <v/>
      </c>
      <c r="Y71" t="str">
        <f t="shared" si="4"/>
        <v/>
      </c>
      <c r="Z71" s="40" t="str">
        <f>IF(Y71="","",IF(I$8="A",(RANK(Y71,Y$11:Y$343,1)+COUNTIF(Y$11:Y71,Y71)-1),(RANK(Y71,Y$11:Y$343)+COUNTIF(Y$11:Y71,Y71)-1)))</f>
        <v/>
      </c>
      <c r="AA71" s="180" t="str">
        <f>IF(L71="","",VLOOKUP($L71,classifications!C:I,7,FALSE))</f>
        <v/>
      </c>
      <c r="AB71" s="174" t="str">
        <f t="shared" si="14"/>
        <v/>
      </c>
      <c r="AC71" s="174" t="str">
        <f>IF(AB71="","",IF($I$8="A",(RANK(AB71,AB$11:AB$343)+COUNTIF(AB$11:AB71,AB71)-1),(RANK(AB71,AB$11:AB$343,1)+COUNTIF(AB$11:AB71,AB71)-1)))</f>
        <v/>
      </c>
      <c r="AD71" s="174"/>
      <c r="AE71" s="36" t="str">
        <f t="shared" si="37"/>
        <v/>
      </c>
      <c r="AG71" s="15"/>
      <c r="AH71" s="3"/>
      <c r="AI71" s="5" t="str">
        <f>IF(L71="","",VLOOKUP($L71,classifications!$C:$J,8,FALSE))</f>
        <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
      </c>
      <c r="AQ71" s="43" t="str">
        <f t="shared" si="17"/>
        <v/>
      </c>
      <c r="AR71" s="40" t="str">
        <f>IF(AQ71="","",IF(I$8="A",(RANK(AQ71,AQ$11:AQ$343,1)+COUNTIF(AQ$11:AQ71,AQ71)-1),(RANK(AQ71,AQ$11:AQ$343)+COUNTIF(AQ$11:AQ71,AQ71)-1)))</f>
        <v/>
      </c>
      <c r="AS71" s="3" t="str">
        <f t="shared" si="36"/>
        <v/>
      </c>
      <c r="AT71" s="40" t="str">
        <f t="shared" si="32"/>
        <v/>
      </c>
      <c r="AU71" s="43" t="str">
        <f t="shared" si="33"/>
        <v/>
      </c>
      <c r="AX71">
        <f>HLOOKUP($AX$9&amp;$AX$10,Data!$A$1:$ZZ$1980,(MATCH($C71,Data!$A$1:$A$1980,0)),FALSE)</f>
        <v>443</v>
      </c>
    </row>
    <row r="72" spans="1:50">
      <c r="A72" s="59" t="str">
        <f>$D$1&amp;62</f>
        <v>UA62</v>
      </c>
      <c r="B72" s="60">
        <f>IF(ISERROR(VLOOKUP(A72,classifications!A:C,3,FALSE)),0,VLOOKUP(A72,classifications!A:C,3,FALSE))</f>
        <v>0</v>
      </c>
      <c r="C72" t="s">
        <v>371</v>
      </c>
      <c r="D72" t="str">
        <f>VLOOKUP($C72,classifications!$C:$J,4,FALSE)</f>
        <v>L</v>
      </c>
      <c r="E72">
        <f>VLOOKUP(C72,classifications!C:K,9,FALSE)</f>
        <v>0</v>
      </c>
      <c r="F72">
        <f t="shared" si="25"/>
        <v>308</v>
      </c>
      <c r="G72" s="15"/>
      <c r="H72" s="42" t="str">
        <f t="shared" si="26"/>
        <v/>
      </c>
      <c r="I72" s="79" t="str">
        <f>IF(H72="","",IF($I$8="A",(RANK(H72,H$11:H$343,1)+COUNTIF(H$11:H72,H72)-1),(RANK(H72,H$11:H$343)+COUNTIF(H$11:H72,H72)-1)))</f>
        <v/>
      </c>
      <c r="J72" s="41"/>
      <c r="K72" s="36" t="str">
        <f t="shared" si="34"/>
        <v/>
      </c>
      <c r="L72" t="str">
        <f t="shared" si="27"/>
        <v/>
      </c>
      <c r="M72" s="117" t="str">
        <f t="shared" si="28"/>
        <v/>
      </c>
      <c r="N72" s="112" t="str">
        <f t="shared" si="23"/>
        <v/>
      </c>
      <c r="O72" s="96" t="str">
        <f t="shared" si="11"/>
        <v/>
      </c>
      <c r="P72" s="96" t="str">
        <f t="shared" si="19"/>
        <v/>
      </c>
      <c r="Q72" s="96" t="str">
        <f t="shared" si="20"/>
        <v/>
      </c>
      <c r="R72" s="92" t="str">
        <f t="shared" si="21"/>
        <v/>
      </c>
      <c r="S72" s="42" t="str">
        <f t="shared" si="12"/>
        <v/>
      </c>
      <c r="T72" s="167" t="str">
        <f>IF(L72="","",VLOOKUP(L72,classifications!C:K,9,FALSE))</f>
        <v/>
      </c>
      <c r="U72" s="168" t="str">
        <f t="shared" si="29"/>
        <v/>
      </c>
      <c r="V72" s="174" t="str">
        <f>IF(U72="","",IF($I$8="A",(RANK(U72,U$11:U$343)+COUNTIF(U$11:U72,U72)-1),(RANK(U72,U$11:U$343,1)+COUNTIF(U$11:U72,U72)-1)))</f>
        <v/>
      </c>
      <c r="W72" s="175"/>
      <c r="X72" s="5" t="str">
        <f>IF(L72="","",VLOOKUP($L72,classifications!$C:$J,6,FALSE))</f>
        <v/>
      </c>
      <c r="Y72" t="str">
        <f t="shared" si="4"/>
        <v/>
      </c>
      <c r="Z72" s="40" t="str">
        <f>IF(Y72="","",IF(I$8="A",(RANK(Y72,Y$11:Y$343,1)+COUNTIF(Y$11:Y72,Y72)-1),(RANK(Y72,Y$11:Y$343)+COUNTIF(Y$11:Y72,Y72)-1)))</f>
        <v/>
      </c>
      <c r="AA72" s="180" t="str">
        <f>IF(L72="","",VLOOKUP($L72,classifications!C:I,7,FALSE))</f>
        <v/>
      </c>
      <c r="AB72" s="174" t="str">
        <f t="shared" si="14"/>
        <v/>
      </c>
      <c r="AC72" s="174" t="str">
        <f>IF(AB72="","",IF($I$8="A",(RANK(AB72,AB$11:AB$343)+COUNTIF(AB$11:AB72,AB72)-1),(RANK(AB72,AB$11:AB$343,1)+COUNTIF(AB$11:AB72,AB72)-1)))</f>
        <v/>
      </c>
      <c r="AD72" s="174"/>
      <c r="AE72" s="36" t="str">
        <f t="shared" si="37"/>
        <v/>
      </c>
      <c r="AG72" s="15"/>
      <c r="AH72" s="3"/>
      <c r="AI72" s="5" t="str">
        <f>IF(L72="","",VLOOKUP($L72,classifications!$C:$J,8,FALSE))</f>
        <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308</v>
      </c>
    </row>
    <row r="73" spans="1:50">
      <c r="A73" s="59" t="str">
        <f>$D$1&amp;63</f>
        <v>UA63</v>
      </c>
      <c r="B73" s="60">
        <f>IF(ISERROR(VLOOKUP(A73,classifications!A:C,3,FALSE)),0,VLOOKUP(A73,classifications!A:C,3,FALSE))</f>
        <v>0</v>
      </c>
      <c r="C73" t="s">
        <v>41</v>
      </c>
      <c r="D73" t="str">
        <f>VLOOKUP($C73,classifications!$C:$J,4,FALSE)</f>
        <v>SD</v>
      </c>
      <c r="E73">
        <f>VLOOKUP(C73,classifications!C:K,9,FALSE)</f>
        <v>0</v>
      </c>
      <c r="F73">
        <f t="shared" si="25"/>
        <v>321.7</v>
      </c>
      <c r="G73" s="15"/>
      <c r="H73" s="42" t="str">
        <f t="shared" si="26"/>
        <v/>
      </c>
      <c r="I73" s="79" t="str">
        <f>IF(H73="","",IF($I$8="A",(RANK(H73,H$11:H$343,1)+COUNTIF(H$11:H73,H73)-1),(RANK(H73,H$11:H$343)+COUNTIF(H$11:H73,H73)-1)))</f>
        <v/>
      </c>
      <c r="J73" s="41"/>
      <c r="K73" s="36" t="str">
        <f t="shared" si="34"/>
        <v/>
      </c>
      <c r="L73" t="str">
        <f t="shared" si="27"/>
        <v/>
      </c>
      <c r="M73" s="117" t="str">
        <f t="shared" si="28"/>
        <v/>
      </c>
      <c r="N73" s="112" t="str">
        <f t="shared" si="23"/>
        <v/>
      </c>
      <c r="O73" s="96" t="str">
        <f t="shared" si="11"/>
        <v/>
      </c>
      <c r="P73" s="96" t="str">
        <f t="shared" si="19"/>
        <v/>
      </c>
      <c r="Q73" s="96" t="str">
        <f t="shared" si="20"/>
        <v/>
      </c>
      <c r="R73" s="92" t="str">
        <f t="shared" si="21"/>
        <v/>
      </c>
      <c r="S73" s="42" t="str">
        <f t="shared" si="12"/>
        <v/>
      </c>
      <c r="T73" s="167" t="str">
        <f>IF(L73="","",VLOOKUP(L73,classifications!C:K,9,FALSE))</f>
        <v/>
      </c>
      <c r="U73" s="168" t="str">
        <f t="shared" si="29"/>
        <v/>
      </c>
      <c r="V73" s="174" t="str">
        <f>IF(U73="","",IF($I$8="A",(RANK(U73,U$11:U$343)+COUNTIF(U$11:U73,U73)-1),(RANK(U73,U$11:U$343,1)+COUNTIF(U$11:U73,U73)-1)))</f>
        <v/>
      </c>
      <c r="W73" s="175"/>
      <c r="X73" s="5" t="str">
        <f>IF(L73="","",VLOOKUP($L73,classifications!$C:$J,6,FALSE))</f>
        <v/>
      </c>
      <c r="Y73" t="str">
        <f t="shared" si="4"/>
        <v/>
      </c>
      <c r="Z73" s="40" t="str">
        <f>IF(Y73="","",IF(I$8="A",(RANK(Y73,Y$11:Y$343,1)+COUNTIF(Y$11:Y73,Y73)-1),(RANK(Y73,Y$11:Y$343)+COUNTIF(Y$11:Y73,Y73)-1)))</f>
        <v/>
      </c>
      <c r="AA73" s="180" t="str">
        <f>IF(L73="","",VLOOKUP($L73,classifications!C:I,7,FALSE))</f>
        <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
      </c>
      <c r="AQ73" s="43" t="str">
        <f t="shared" si="17"/>
        <v/>
      </c>
      <c r="AR73" s="40" t="str">
        <f>IF(AQ73="","",IF(I$8="A",(RANK(AQ73,AQ$11:AQ$343,1)+COUNTIF(AQ$11:AQ73,AQ73)-1),(RANK(AQ73,AQ$11:AQ$343)+COUNTIF(AQ$11:AQ73,AQ73)-1)))</f>
        <v/>
      </c>
      <c r="AS73" s="3" t="str">
        <f t="shared" si="36"/>
        <v/>
      </c>
      <c r="AT73" s="40" t="str">
        <f t="shared" si="32"/>
        <v/>
      </c>
      <c r="AU73" s="43" t="str">
        <f t="shared" si="33"/>
        <v/>
      </c>
      <c r="AX73">
        <f>HLOOKUP($AX$9&amp;$AX$10,Data!$A$1:$ZZ$1980,(MATCH($C73,Data!$A$1:$A$1980,0)),FALSE)</f>
        <v>321.7</v>
      </c>
    </row>
    <row r="74" spans="1:50">
      <c r="A74" s="59" t="str">
        <f>$D$1&amp;64</f>
        <v>UA64</v>
      </c>
      <c r="B74" s="60">
        <f>IF(ISERROR(VLOOKUP(A74,classifications!A:C,3,FALSE)),0,VLOOKUP(A74,classifications!A:C,3,FALSE))</f>
        <v>0</v>
      </c>
      <c r="C74" t="s">
        <v>42</v>
      </c>
      <c r="D74" t="str">
        <f>VLOOKUP($C74,classifications!$C:$J,4,FALSE)</f>
        <v>SD</v>
      </c>
      <c r="E74" t="str">
        <f>VLOOKUP(C74,classifications!C:K,9,FALSE)</f>
        <v>Sparse</v>
      </c>
      <c r="F74">
        <f t="shared" si="25"/>
        <v>482.8</v>
      </c>
      <c r="G74" s="15"/>
      <c r="H74" s="42" t="str">
        <f t="shared" si="26"/>
        <v/>
      </c>
      <c r="I74" s="79" t="str">
        <f>IF(H74="","",IF($I$8="A",(RANK(H74,H$11:H$343,1)+COUNTIF(H$11:H74,H74)-1),(RANK(H74,H$11:H$343)+COUNTIF(H$11:H74,H74)-1)))</f>
        <v/>
      </c>
      <c r="J74" s="41"/>
      <c r="K74" s="36" t="str">
        <f t="shared" si="34"/>
        <v/>
      </c>
      <c r="L74" t="str">
        <f t="shared" si="27"/>
        <v/>
      </c>
      <c r="M74" s="117" t="str">
        <f t="shared" si="28"/>
        <v/>
      </c>
      <c r="N74" s="112" t="str">
        <f t="shared" si="23"/>
        <v/>
      </c>
      <c r="O74" s="96" t="str">
        <f t="shared" si="11"/>
        <v/>
      </c>
      <c r="P74" s="96" t="str">
        <f t="shared" si="19"/>
        <v/>
      </c>
      <c r="Q74" s="96" t="str">
        <f t="shared" si="20"/>
        <v/>
      </c>
      <c r="R74" s="92" t="str">
        <f t="shared" si="21"/>
        <v/>
      </c>
      <c r="S74" s="42" t="str">
        <f t="shared" si="12"/>
        <v/>
      </c>
      <c r="T74" s="167" t="str">
        <f>IF(L74="","",VLOOKUP(L74,classifications!C:K,9,FALSE))</f>
        <v/>
      </c>
      <c r="U74" s="168" t="str">
        <f t="shared" si="29"/>
        <v/>
      </c>
      <c r="V74" s="174" t="str">
        <f>IF(U74="","",IF($I$8="A",(RANK(U74,U$11:U$343)+COUNTIF(U$11:U74,U74)-1),(RANK(U74,U$11:U$343,1)+COUNTIF(U$11:U74,U74)-1)))</f>
        <v/>
      </c>
      <c r="W74" s="175"/>
      <c r="X74" s="5" t="str">
        <f>IF(L74="","",VLOOKUP($L74,classifications!$C:$J,6,FALSE))</f>
        <v/>
      </c>
      <c r="Y74" t="str">
        <f t="shared" si="4"/>
        <v/>
      </c>
      <c r="Z74" s="40" t="str">
        <f>IF(Y74="","",IF(I$8="A",(RANK(Y74,Y$11:Y$343,1)+COUNTIF(Y$11:Y74,Y74)-1),(RANK(Y74,Y$11:Y$343)+COUNTIF(Y$11:Y74,Y74)-1)))</f>
        <v/>
      </c>
      <c r="AA74" s="180" t="str">
        <f>IF(L74="","",VLOOKUP($L74,classifications!C:I,7,FALSE))</f>
        <v/>
      </c>
      <c r="AB74" s="174" t="str">
        <f t="shared" si="14"/>
        <v/>
      </c>
      <c r="AC74" s="174" t="str">
        <f>IF(AB74="","",IF($I$8="A",(RANK(AB74,AB$11:AB$343)+COUNTIF(AB$11:AB74,AB74)-1),(RANK(AB74,AB$11:AB$343,1)+COUNTIF(AB$11:AB74,AB74)-1)))</f>
        <v/>
      </c>
      <c r="AD74" s="174"/>
      <c r="AE74" s="36" t="str">
        <f t="shared" si="37"/>
        <v/>
      </c>
      <c r="AG74" s="15"/>
      <c r="AH74" s="3"/>
      <c r="AI74" s="5" t="str">
        <f>IF(L74="","",VLOOKUP($L74,classifications!$C:$J,8,FALSE))</f>
        <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
      </c>
      <c r="AQ74" s="43" t="str">
        <f t="shared" si="17"/>
        <v/>
      </c>
      <c r="AR74" s="40" t="str">
        <f>IF(AQ74="","",IF(I$8="A",(RANK(AQ74,AQ$11:AQ$343,1)+COUNTIF(AQ$11:AQ74,AQ74)-1),(RANK(AQ74,AQ$11:AQ$343)+COUNTIF(AQ$11:AQ74,AQ74)-1)))</f>
        <v/>
      </c>
      <c r="AS74" s="3" t="str">
        <f t="shared" si="36"/>
        <v/>
      </c>
      <c r="AT74" s="40" t="str">
        <f t="shared" si="32"/>
        <v/>
      </c>
      <c r="AU74" s="43" t="str">
        <f t="shared" si="33"/>
        <v/>
      </c>
      <c r="AX74">
        <f>HLOOKUP($AX$9&amp;$AX$10,Data!$A$1:$ZZ$1980,(MATCH($C74,Data!$A$1:$A$1980,0)),FALSE)</f>
        <v>482.8</v>
      </c>
    </row>
    <row r="75" spans="1:50">
      <c r="A75" s="59" t="str">
        <f>$D$1&amp;65</f>
        <v>UA65</v>
      </c>
      <c r="B75" s="60">
        <f>IF(ISERROR(VLOOKUP(A75,classifications!A:C,3,FALSE)),0,VLOOKUP(A75,classifications!A:C,3,FALSE))</f>
        <v>0</v>
      </c>
      <c r="C75" t="s">
        <v>906</v>
      </c>
      <c r="D75" t="str">
        <f>VLOOKUP($C75,classifications!$C:$J,4,FALSE)</f>
        <v>UA</v>
      </c>
      <c r="E75" t="str">
        <f>VLOOKUP(C75,classifications!C:K,9,FALSE)</f>
        <v>Sparse</v>
      </c>
      <c r="F75">
        <f t="shared" ref="F75:F85" si="38">HLOOKUP($D$6,AX$10:ZX$355,ROW()-9,FALSE)</f>
        <v>531.9</v>
      </c>
      <c r="G75" s="15"/>
      <c r="H75" s="42">
        <f t="shared" ref="H75:H85" si="39">IF(D75=$D$1,HLOOKUP($D$6,$AX$10:$ZZ$355,ROW()-9,FALSE),"")</f>
        <v>531.9</v>
      </c>
      <c r="I75" s="79">
        <f>IF(H75="","",IF($I$8="A",(RANK(H75,H$11:H$343,1)+COUNTIF(H$11:H75,H75)-1),(RANK(H75,H$11:H$343)+COUNTIF(H$11:H75,H75)-1)))</f>
        <v>32</v>
      </c>
      <c r="J75" s="41"/>
      <c r="K75" s="36" t="str">
        <f t="shared" si="34"/>
        <v/>
      </c>
      <c r="L75" t="str">
        <f t="shared" ref="L75:L85" si="40">IF(K75="","",INDEX(C$11:C$343,MATCH(K75,I$11:I$343,0)))</f>
        <v/>
      </c>
      <c r="M75" s="117" t="str">
        <f t="shared" ref="M75:M85" si="41">IF(L75="","",IF(VLOOKUP(L75,C:D,2,FALSE)=$F$3,VLOOKUP(L75,C:H,6,FALSE),""))</f>
        <v/>
      </c>
      <c r="N75" s="112" t="str">
        <f t="shared" si="23"/>
        <v/>
      </c>
      <c r="O75" s="96" t="str">
        <f t="shared" ref="O75:O85" si="42">IF(I$8="A",IF(N75&gt;=$P$7,IF(N75&lt;=$O$10,N75,""),""),IF(N75&lt;=$P$7,IF(N75&gt;=$O$10,N75,""),""))</f>
        <v/>
      </c>
      <c r="P75" s="96" t="str">
        <f t="shared" si="19"/>
        <v/>
      </c>
      <c r="Q75" s="96" t="str">
        <f t="shared" si="20"/>
        <v/>
      </c>
      <c r="R75" s="92" t="str">
        <f t="shared" si="21"/>
        <v/>
      </c>
      <c r="S75" s="42" t="str">
        <f t="shared" si="12"/>
        <v/>
      </c>
      <c r="T75" s="167" t="str">
        <f>IF(L75="","",VLOOKUP(L75,classifications!C:K,9,FALSE))</f>
        <v/>
      </c>
      <c r="U75" s="168" t="str">
        <f t="shared" ref="U75:U85" si="43">IF(T75="Sparse",M75,"")</f>
        <v/>
      </c>
      <c r="V75" s="174" t="str">
        <f>IF(U75="","",IF($I$8="A",(RANK(U75,U$11:U$343)+COUNTIF(U$11:U75,U75)-1),(RANK(U75,U$11:U$343,1)+COUNTIF(U$11:U75,U75)-1)))</f>
        <v/>
      </c>
      <c r="W75" s="175"/>
      <c r="X75" s="5" t="str">
        <f>IF(L75="","",VLOOKUP($L75,classifications!$C:$J,6,FALSE))</f>
        <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
      </c>
      <c r="AB75" s="174" t="str">
        <f t="shared" si="14"/>
        <v/>
      </c>
      <c r="AC75" s="174" t="str">
        <f>IF(AB75="","",IF($I$8="A",(RANK(AB75,AB$11:AB$343)+COUNTIF(AB$11:AB75,AB75)-1),(RANK(AB75,AB$11:AB$343,1)+COUNTIF(AB$11:AB75,AB75)-1)))</f>
        <v/>
      </c>
      <c r="AD75" s="174"/>
      <c r="AE75" s="36" t="str">
        <f t="shared" si="37"/>
        <v/>
      </c>
      <c r="AG75" s="15"/>
      <c r="AH75" s="3"/>
      <c r="AI75" s="5" t="str">
        <f>IF(L75="","",VLOOKUP($L75,classifications!$C:$J,8,FALSE))</f>
        <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531.9</v>
      </c>
    </row>
    <row r="76" spans="1:50">
      <c r="A76" s="59" t="str">
        <f>$D$1&amp;66</f>
        <v>UA66</v>
      </c>
      <c r="B76" s="60">
        <f>IF(ISERROR(VLOOKUP(A76,classifications!A:C,3,FALSE)),0,VLOOKUP(A76,classifications!A:C,3,FALSE))</f>
        <v>0</v>
      </c>
      <c r="C76" t="s">
        <v>306</v>
      </c>
      <c r="D76" t="str">
        <f>VLOOKUP($C76,classifications!$C:$J,4,FALSE)</f>
        <v>UA</v>
      </c>
      <c r="E76" t="str">
        <f>VLOOKUP(C76,classifications!C:K,9,FALSE)</f>
        <v>Sparse</v>
      </c>
      <c r="F76">
        <f t="shared" si="38"/>
        <v>618.29999999999995</v>
      </c>
      <c r="G76" s="15"/>
      <c r="H76" s="42">
        <f t="shared" si="39"/>
        <v>618.29999999999995</v>
      </c>
      <c r="I76" s="79">
        <f>IF(H76="","",IF($I$8="A",(RANK(H76,H$11:H$343,1)+COUNTIF(H$11:H76,H76)-1),(RANK(H76,H$11:H$343)+COUNTIF(H$11:H76,H76)-1)))</f>
        <v>53</v>
      </c>
      <c r="J76" s="41"/>
      <c r="K76" s="36" t="str">
        <f t="shared" ref="K76:K85" si="50">IF(K75="","",IF(K75+1&gt;(COUNT(H$11:H$343)),"",K75+1))</f>
        <v/>
      </c>
      <c r="L76" t="str">
        <f t="shared" si="40"/>
        <v/>
      </c>
      <c r="M76" s="117" t="str">
        <f t="shared" si="41"/>
        <v/>
      </c>
      <c r="N76" s="112" t="str">
        <f t="shared" ref="N76:N85" si="51">IF(L76="","",IF($H$8="%%",M76*100,M76))</f>
        <v/>
      </c>
      <c r="O76" s="96" t="str">
        <f t="shared" si="42"/>
        <v/>
      </c>
      <c r="P76" s="96" t="str">
        <f t="shared" si="19"/>
        <v/>
      </c>
      <c r="Q76" s="96" t="str">
        <f t="shared" si="20"/>
        <v/>
      </c>
      <c r="R76" s="92" t="str">
        <f t="shared" si="21"/>
        <v/>
      </c>
      <c r="S76" s="42" t="str">
        <f t="shared" ref="S76:S85" si="52">IF(L76=D$3,"u","")</f>
        <v/>
      </c>
      <c r="T76" s="167" t="str">
        <f>IF(L76="","",VLOOKUP(L76,classifications!C:K,9,FALSE))</f>
        <v/>
      </c>
      <c r="U76" s="168" t="str">
        <f t="shared" si="43"/>
        <v/>
      </c>
      <c r="V76" s="174" t="str">
        <f>IF(U76="","",IF($I$8="A",(RANK(U76,U$11:U$343)+COUNTIF(U$11:U76,U76)-1),(RANK(U76,U$11:U$343,1)+COUNTIF(U$11:U76,U76)-1)))</f>
        <v/>
      </c>
      <c r="W76" s="175"/>
      <c r="X76" s="5" t="str">
        <f>IF(L76="","",VLOOKUP($L76,classifications!$C:$J,6,FALSE))</f>
        <v/>
      </c>
      <c r="Y76" t="str">
        <f t="shared" si="44"/>
        <v/>
      </c>
      <c r="Z76" s="40" t="str">
        <f>IF(Y76="","",IF(I$8="A",(RANK(Y76,Y$11:Y$343,1)+COUNTIF(Y$11:Y76,Y76)-1),(RANK(Y76,Y$11:Y$343)+COUNTIF(Y$11:Y76,Y76)-1)))</f>
        <v/>
      </c>
      <c r="AA76" s="180" t="str">
        <f>IF(L76="","",VLOOKUP($L76,classifications!C:I,7,FALSE))</f>
        <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
      </c>
      <c r="AQ76" s="43" t="str">
        <f t="shared" ref="AQ76:AQ85" si="55">IF(AP76=$G$3,$M76,"")</f>
        <v/>
      </c>
      <c r="AR76" s="40" t="str">
        <f>IF(AQ76="","",IF(I$8="A",(RANK(AQ76,AQ$11:AQ$343,1)+COUNTIF(AQ$11:AQ76,AQ76)-1),(RANK(AQ76,AQ$11:AQ$343)+COUNTIF(AQ$11:AQ76,AQ76)-1)))</f>
        <v/>
      </c>
      <c r="AS76" s="3" t="str">
        <f t="shared" ref="AS76:AS85" si="56">IF(AS75="","",IF(AS75+1&gt;(COUNT(AQ$11:AQ$343)),"",AS75+1))</f>
        <v/>
      </c>
      <c r="AT76" s="40" t="str">
        <f t="shared" si="48"/>
        <v/>
      </c>
      <c r="AU76" s="43" t="str">
        <f t="shared" si="49"/>
        <v/>
      </c>
      <c r="AX76">
        <f>HLOOKUP($AX$9&amp;$AX$10,Data!$A$1:$ZZ$1980,(MATCH($C76,Data!$A$1:$A$1980,0)),FALSE)</f>
        <v>618.29999999999995</v>
      </c>
    </row>
    <row r="77" spans="1:50">
      <c r="A77" s="59" t="str">
        <f>$D$1&amp;67</f>
        <v>UA67</v>
      </c>
      <c r="B77" s="60">
        <f>IF(ISERROR(VLOOKUP(A77,classifications!A:C,3,FALSE)),0,VLOOKUP(A77,classifications!A:C,3,FALSE))</f>
        <v>0</v>
      </c>
      <c r="C77" t="s">
        <v>44</v>
      </c>
      <c r="D77" t="str">
        <f>VLOOKUP($C77,classifications!$C:$J,4,FALSE)</f>
        <v>SD</v>
      </c>
      <c r="E77" t="str">
        <f>VLOOKUP(C77,classifications!C:K,9,FALSE)</f>
        <v>Sparse</v>
      </c>
      <c r="F77">
        <f t="shared" si="38"/>
        <v>353.3</v>
      </c>
      <c r="G77" s="15"/>
      <c r="H77" s="42" t="str">
        <f t="shared" si="39"/>
        <v/>
      </c>
      <c r="I77" s="79" t="str">
        <f>IF(H77="","",IF($I$8="A",(RANK(H77,H$11:H$343,1)+COUNTIF(H$11:H77,H77)-1),(RANK(H77,H$11:H$343)+COUNTIF(H$11:H77,H77)-1)))</f>
        <v/>
      </c>
      <c r="J77" s="41"/>
      <c r="K77" s="36" t="str">
        <f t="shared" si="50"/>
        <v/>
      </c>
      <c r="L77" t="str">
        <f t="shared" si="40"/>
        <v/>
      </c>
      <c r="M77" s="117" t="str">
        <f t="shared" si="41"/>
        <v/>
      </c>
      <c r="N77" s="112" t="str">
        <f t="shared" si="51"/>
        <v/>
      </c>
      <c r="O77" s="96" t="str">
        <f t="shared" si="42"/>
        <v/>
      </c>
      <c r="P77" s="96" t="str">
        <f t="shared" ref="P77:P85" si="57">IF(I$8="A",IF(N77&gt;$O$10,IF(N77&lt;=$P$10,N77,""),""),IF(N77&lt;$O$10,IF(N77&gt;=$P$10,N77,""),""))</f>
        <v/>
      </c>
      <c r="Q77" s="96" t="str">
        <f t="shared" ref="Q77:Q85" si="58">IF(I$8="A",IF(N77&gt;$P$10,IF(N77&lt;=$Q$10,N77,""),""),IF(N77&lt;$P$10,IF(N77&gt;=$Q$10,N77,""),""))</f>
        <v/>
      </c>
      <c r="R77" s="92" t="str">
        <f t="shared" ref="R77:R85" si="59">IF(I$8="A",IF(N77&gt;$Q$10,N77,""),IF(N77&lt;$Q$10,N77,""))</f>
        <v/>
      </c>
      <c r="S77" s="42" t="str">
        <f t="shared" si="52"/>
        <v/>
      </c>
      <c r="T77" s="167" t="str">
        <f>IF(L77="","",VLOOKUP(L77,classifications!C:K,9,FALSE))</f>
        <v/>
      </c>
      <c r="U77" s="168" t="str">
        <f t="shared" si="43"/>
        <v/>
      </c>
      <c r="V77" s="174" t="str">
        <f>IF(U77="","",IF($I$8="A",(RANK(U77,U$11:U$343)+COUNTIF(U$11:U77,U77)-1),(RANK(U77,U$11:U$343,1)+COUNTIF(U$11:U77,U77)-1)))</f>
        <v/>
      </c>
      <c r="W77" s="175"/>
      <c r="X77" s="5" t="str">
        <f>IF(L77="","",VLOOKUP($L77,classifications!$C:$J,6,FALSE))</f>
        <v/>
      </c>
      <c r="Y77" t="str">
        <f t="shared" si="44"/>
        <v/>
      </c>
      <c r="Z77" s="40" t="str">
        <f>IF(Y77="","",IF(I$8="A",(RANK(Y77,Y$11:Y$343,1)+COUNTIF(Y$11:Y77,Y77)-1),(RANK(Y77,Y$11:Y$343)+COUNTIF(Y$11:Y77,Y77)-1)))</f>
        <v/>
      </c>
      <c r="AA77" s="180" t="str">
        <f>IF(L77="","",VLOOKUP($L77,classifications!C:I,7,FALSE))</f>
        <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
      </c>
      <c r="AQ77" s="43" t="str">
        <f t="shared" si="55"/>
        <v/>
      </c>
      <c r="AR77" s="40" t="str">
        <f>IF(AQ77="","",IF(I$8="A",(RANK(AQ77,AQ$11:AQ$343,1)+COUNTIF(AQ$11:AQ77,AQ77)-1),(RANK(AQ77,AQ$11:AQ$343)+COUNTIF(AQ$11:AQ77,AQ77)-1)))</f>
        <v/>
      </c>
      <c r="AS77" s="3" t="str">
        <f t="shared" si="56"/>
        <v/>
      </c>
      <c r="AT77" s="40" t="str">
        <f t="shared" si="48"/>
        <v/>
      </c>
      <c r="AU77" s="43" t="str">
        <f t="shared" si="49"/>
        <v/>
      </c>
      <c r="AX77">
        <f>HLOOKUP($AX$9&amp;$AX$10,Data!$A$1:$ZZ$1980,(MATCH($C77,Data!$A$1:$A$1980,0)),FALSE)</f>
        <v>353.3</v>
      </c>
    </row>
    <row r="78" spans="1:50">
      <c r="A78" s="59" t="str">
        <f>$D$1&amp;68</f>
        <v>UA68</v>
      </c>
      <c r="B78" s="60">
        <f>IF(ISERROR(VLOOKUP(A78,classifications!A:C,3,FALSE)),0,VLOOKUP(A78,classifications!A:C,3,FALSE))</f>
        <v>0</v>
      </c>
      <c r="C78" t="s">
        <v>229</v>
      </c>
      <c r="D78" t="str">
        <f>VLOOKUP($C78,classifications!$C:$J,4,FALSE)</f>
        <v>MD</v>
      </c>
      <c r="E78">
        <f>VLOOKUP(C78,classifications!C:K,9,FALSE)</f>
        <v>0</v>
      </c>
      <c r="F78">
        <f t="shared" si="38"/>
        <v>550.1</v>
      </c>
      <c r="G78" s="15"/>
      <c r="H78" s="42" t="str">
        <f t="shared" si="39"/>
        <v/>
      </c>
      <c r="I78" s="79" t="str">
        <f>IF(H78="","",IF($I$8="A",(RANK(H78,H$11:H$343,1)+COUNTIF(H$11:H78,H78)-1),(RANK(H78,H$11:H$343)+COUNTIF(H$11:H78,H78)-1)))</f>
        <v/>
      </c>
      <c r="J78" s="41"/>
      <c r="K78" s="36" t="str">
        <f t="shared" si="50"/>
        <v/>
      </c>
      <c r="L78" t="str">
        <f t="shared" si="40"/>
        <v/>
      </c>
      <c r="M78" s="117" t="str">
        <f t="shared" si="41"/>
        <v/>
      </c>
      <c r="N78" s="112" t="str">
        <f t="shared" si="51"/>
        <v/>
      </c>
      <c r="O78" s="96" t="str">
        <f t="shared" si="42"/>
        <v/>
      </c>
      <c r="P78" s="96" t="str">
        <f t="shared" si="57"/>
        <v/>
      </c>
      <c r="Q78" s="96" t="str">
        <f t="shared" si="58"/>
        <v/>
      </c>
      <c r="R78" s="92" t="str">
        <f t="shared" si="59"/>
        <v/>
      </c>
      <c r="S78" s="42" t="str">
        <f t="shared" si="52"/>
        <v/>
      </c>
      <c r="T78" s="167" t="str">
        <f>IF(L78="","",VLOOKUP(L78,classifications!C:K,9,FALSE))</f>
        <v/>
      </c>
      <c r="U78" s="168" t="str">
        <f t="shared" si="43"/>
        <v/>
      </c>
      <c r="V78" s="174" t="str">
        <f>IF(U78="","",IF($I$8="A",(RANK(U78,U$11:U$343)+COUNTIF(U$11:U78,U78)-1),(RANK(U78,U$11:U$343,1)+COUNTIF(U$11:U78,U78)-1)))</f>
        <v/>
      </c>
      <c r="W78" s="175"/>
      <c r="X78" s="5" t="str">
        <f>IF(L78="","",VLOOKUP($L78,classifications!$C:$J,6,FALSE))</f>
        <v/>
      </c>
      <c r="Y78" t="str">
        <f t="shared" si="44"/>
        <v/>
      </c>
      <c r="Z78" s="40" t="str">
        <f>IF(Y78="","",IF(I$8="A",(RANK(Y78,Y$11:Y$343,1)+COUNTIF(Y$11:Y78,Y78)-1),(RANK(Y78,Y$11:Y$343)+COUNTIF(Y$11:Y78,Y78)-1)))</f>
        <v/>
      </c>
      <c r="AA78" s="180" t="str">
        <f>IF(L78="","",VLOOKUP($L78,classifications!C:I,7,FALSE))</f>
        <v/>
      </c>
      <c r="AB78" s="174" t="str">
        <f t="shared" si="53"/>
        <v/>
      </c>
      <c r="AC78" s="174" t="str">
        <f>IF(AB78="","",IF($I$8="A",(RANK(AB78,AB$11:AB$343)+COUNTIF(AB$11:AB78,AB78)-1),(RANK(AB78,AB$11:AB$343,1)+COUNTIF(AB$11:AB78,AB78)-1)))</f>
        <v/>
      </c>
      <c r="AD78" s="174"/>
      <c r="AE78" s="36" t="str">
        <f t="shared" si="37"/>
        <v/>
      </c>
      <c r="AG78" s="15"/>
      <c r="AH78" s="3"/>
      <c r="AI78" s="5" t="str">
        <f>IF(L78="","",VLOOKUP($L78,classifications!$C:$J,8,FALSE))</f>
        <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550.1</v>
      </c>
    </row>
    <row r="79" spans="1:50">
      <c r="A79" s="59" t="str">
        <f>$D$1&amp;69</f>
        <v>UA69</v>
      </c>
      <c r="B79" s="60">
        <f>IF(ISERROR(VLOOKUP(A79,classifications!A:C,3,FALSE)),0,VLOOKUP(A79,classifications!A:C,3,FALSE))</f>
        <v>0</v>
      </c>
      <c r="C79" t="s">
        <v>45</v>
      </c>
      <c r="D79" t="str">
        <f>VLOOKUP($C79,classifications!$C:$J,4,FALSE)</f>
        <v>SD</v>
      </c>
      <c r="E79" t="str">
        <f>VLOOKUP(C79,classifications!C:K,9,FALSE)</f>
        <v>Sparse</v>
      </c>
      <c r="F79">
        <f t="shared" si="38"/>
        <v>426.3</v>
      </c>
      <c r="G79" s="15"/>
      <c r="H79" s="42" t="str">
        <f t="shared" si="39"/>
        <v/>
      </c>
      <c r="I79" s="79" t="str">
        <f>IF(H79="","",IF($I$8="A",(RANK(H79,H$11:H$343,1)+COUNTIF(H$11:H79,H79)-1),(RANK(H79,H$11:H$343)+COUNTIF(H$11:H79,H79)-1)))</f>
        <v/>
      </c>
      <c r="J79" s="41"/>
      <c r="K79" s="36" t="str">
        <f t="shared" si="50"/>
        <v/>
      </c>
      <c r="L79" t="str">
        <f t="shared" si="40"/>
        <v/>
      </c>
      <c r="M79" s="117" t="str">
        <f t="shared" si="41"/>
        <v/>
      </c>
      <c r="N79" s="112" t="str">
        <f t="shared" si="51"/>
        <v/>
      </c>
      <c r="O79" s="96" t="str">
        <f t="shared" si="42"/>
        <v/>
      </c>
      <c r="P79" s="96" t="str">
        <f t="shared" si="57"/>
        <v/>
      </c>
      <c r="Q79" s="96" t="str">
        <f t="shared" si="58"/>
        <v/>
      </c>
      <c r="R79" s="92" t="str">
        <f t="shared" si="59"/>
        <v/>
      </c>
      <c r="S79" s="42" t="str">
        <f t="shared" si="52"/>
        <v/>
      </c>
      <c r="T79" s="167" t="str">
        <f>IF(L79="","",VLOOKUP(L79,classifications!C:K,9,FALSE))</f>
        <v/>
      </c>
      <c r="U79" s="168" t="str">
        <f t="shared" si="43"/>
        <v/>
      </c>
      <c r="V79" s="174" t="str">
        <f>IF(U79="","",IF($I$8="A",(RANK(U79,U$11:U$343)+COUNTIF(U$11:U79,U79)-1),(RANK(U79,U$11:U$343,1)+COUNTIF(U$11:U79,U79)-1)))</f>
        <v/>
      </c>
      <c r="W79" s="175"/>
      <c r="X79" s="5" t="str">
        <f>IF(L79="","",VLOOKUP($L79,classifications!$C:$J,6,FALSE))</f>
        <v/>
      </c>
      <c r="Y79" t="str">
        <f t="shared" si="44"/>
        <v/>
      </c>
      <c r="Z79" s="40" t="str">
        <f>IF(Y79="","",IF(I$8="A",(RANK(Y79,Y$11:Y$343,1)+COUNTIF(Y$11:Y79,Y79)-1),(RANK(Y79,Y$11:Y$343)+COUNTIF(Y$11:Y79,Y79)-1)))</f>
        <v/>
      </c>
      <c r="AA79" s="180" t="str">
        <f>IF(L79="","",VLOOKUP($L79,classifications!C:I,7,FALSE))</f>
        <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
      </c>
      <c r="AQ79" s="43" t="str">
        <f t="shared" si="55"/>
        <v/>
      </c>
      <c r="AR79" s="40" t="str">
        <f>IF(AQ79="","",IF(I$8="A",(RANK(AQ79,AQ$11:AQ$343,1)+COUNTIF(AQ$11:AQ79,AQ79)-1),(RANK(AQ79,AQ$11:AQ$343)+COUNTIF(AQ$11:AQ79,AQ79)-1)))</f>
        <v/>
      </c>
      <c r="AS79" s="3" t="str">
        <f t="shared" si="56"/>
        <v/>
      </c>
      <c r="AT79" s="40" t="str">
        <f t="shared" si="48"/>
        <v/>
      </c>
      <c r="AU79" s="43" t="str">
        <f t="shared" si="49"/>
        <v/>
      </c>
      <c r="AX79">
        <f>HLOOKUP($AX$9&amp;$AX$10,Data!$A$1:$ZZ$1980,(MATCH($C79,Data!$A$1:$A$1980,0)),FALSE)</f>
        <v>426.3</v>
      </c>
    </row>
    <row r="80" spans="1:50">
      <c r="A80" s="59" t="str">
        <f>$D$1&amp;70</f>
        <v>UA70</v>
      </c>
      <c r="B80" s="60">
        <f>IF(ISERROR(VLOOKUP(A80,classifications!A:C,3,FALSE)),0,VLOOKUP(A80,classifications!A:C,3,FALSE))</f>
        <v>0</v>
      </c>
      <c r="C80" t="s">
        <v>46</v>
      </c>
      <c r="D80" t="str">
        <f>VLOOKUP($C80,classifications!$C:$J,4,FALSE)</f>
        <v>SD</v>
      </c>
      <c r="E80">
        <f>VLOOKUP(C80,classifications!C:K,9,FALSE)</f>
        <v>0</v>
      </c>
      <c r="F80">
        <f t="shared" si="38"/>
        <v>495.6</v>
      </c>
      <c r="G80" s="15"/>
      <c r="H80" s="42" t="str">
        <f t="shared" si="39"/>
        <v/>
      </c>
      <c r="I80" s="79" t="str">
        <f>IF(H80="","",IF($I$8="A",(RANK(H80,H$11:H$343,1)+COUNTIF(H$11:H80,H80)-1),(RANK(H80,H$11:H$343)+COUNTIF(H$11:H80,H80)-1)))</f>
        <v/>
      </c>
      <c r="J80" s="41"/>
      <c r="K80" s="36" t="str">
        <f t="shared" si="50"/>
        <v/>
      </c>
      <c r="L80" t="str">
        <f t="shared" si="40"/>
        <v/>
      </c>
      <c r="M80" s="117" t="str">
        <f t="shared" si="41"/>
        <v/>
      </c>
      <c r="N80" s="112" t="str">
        <f t="shared" si="51"/>
        <v/>
      </c>
      <c r="O80" s="96" t="str">
        <f t="shared" si="42"/>
        <v/>
      </c>
      <c r="P80" s="96" t="str">
        <f t="shared" si="57"/>
        <v/>
      </c>
      <c r="Q80" s="96" t="str">
        <f t="shared" si="58"/>
        <v/>
      </c>
      <c r="R80" s="92" t="str">
        <f t="shared" si="59"/>
        <v/>
      </c>
      <c r="S80" s="42" t="str">
        <f t="shared" si="52"/>
        <v/>
      </c>
      <c r="T80" s="167" t="str">
        <f>IF(L80="","",VLOOKUP(L80,classifications!C:K,9,FALSE))</f>
        <v/>
      </c>
      <c r="U80" s="168" t="str">
        <f t="shared" si="43"/>
        <v/>
      </c>
      <c r="V80" s="174" t="str">
        <f>IF(U80="","",IF($I$8="A",(RANK(U80,U$11:U$343)+COUNTIF(U$11:U80,U80)-1),(RANK(U80,U$11:U$343,1)+COUNTIF(U$11:U80,U80)-1)))</f>
        <v/>
      </c>
      <c r="W80" s="175"/>
      <c r="X80" s="5" t="str">
        <f>IF(L80="","",VLOOKUP($L80,classifications!$C:$J,6,FALSE))</f>
        <v/>
      </c>
      <c r="Y80" t="str">
        <f t="shared" si="44"/>
        <v/>
      </c>
      <c r="Z80" s="40" t="str">
        <f>IF(Y80="","",IF(I$8="A",(RANK(Y80,Y$11:Y$343,1)+COUNTIF(Y$11:Y80,Y80)-1),(RANK(Y80,Y$11:Y$343)+COUNTIF(Y$11:Y80,Y80)-1)))</f>
        <v/>
      </c>
      <c r="AA80" s="180" t="str">
        <f>IF(L80="","",VLOOKUP($L80,classifications!C:I,7,FALSE))</f>
        <v/>
      </c>
      <c r="AB80" s="174" t="str">
        <f t="shared" si="53"/>
        <v/>
      </c>
      <c r="AC80" s="174" t="str">
        <f>IF(AB80="","",IF($I$8="A",(RANK(AB80,AB$11:AB$343)+COUNTIF(AB$11:AB80,AB80)-1),(RANK(AB80,AB$11:AB$343,1)+COUNTIF(AB$11:AB80,AB80)-1)))</f>
        <v/>
      </c>
      <c r="AD80" s="174"/>
      <c r="AE80" s="36" t="str">
        <f t="shared" si="37"/>
        <v/>
      </c>
      <c r="AG80" s="15"/>
      <c r="AH80" s="3"/>
      <c r="AI80" s="5" t="str">
        <f>IF(L80="","",VLOOKUP($L80,classifications!$C:$J,8,FALSE))</f>
        <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
      </c>
      <c r="AQ80" s="43" t="str">
        <f t="shared" si="55"/>
        <v/>
      </c>
      <c r="AR80" s="40" t="str">
        <f>IF(AQ80="","",IF(I$8="A",(RANK(AQ80,AQ$11:AQ$343,1)+COUNTIF(AQ$11:AQ80,AQ80)-1),(RANK(AQ80,AQ$11:AQ$343)+COUNTIF(AQ$11:AQ80,AQ80)-1)))</f>
        <v/>
      </c>
      <c r="AS80" s="3" t="str">
        <f t="shared" si="56"/>
        <v/>
      </c>
      <c r="AT80" s="40" t="str">
        <f t="shared" si="48"/>
        <v/>
      </c>
      <c r="AU80" s="43" t="str">
        <f t="shared" si="49"/>
        <v/>
      </c>
      <c r="AX80">
        <f>HLOOKUP($AX$9&amp;$AX$10,Data!$A$1:$ZZ$1980,(MATCH($C80,Data!$A$1:$A$1980,0)),FALSE)</f>
        <v>495.6</v>
      </c>
    </row>
    <row r="81" spans="1:50">
      <c r="A81" s="59" t="str">
        <f>$D$1&amp;71</f>
        <v>UA71</v>
      </c>
      <c r="B81" s="60">
        <f>IF(ISERROR(VLOOKUP(A81,classifications!A:C,3,FALSE)),0,VLOOKUP(A81,classifications!A:C,3,FALSE))</f>
        <v>0</v>
      </c>
      <c r="C81" t="s">
        <v>202</v>
      </c>
      <c r="D81" t="str">
        <f>VLOOKUP($C81,classifications!$C:$J,4,FALSE)</f>
        <v>L</v>
      </c>
      <c r="E81">
        <f>VLOOKUP(C81,classifications!C:K,9,FALSE)</f>
        <v>0</v>
      </c>
      <c r="F81">
        <f t="shared" si="38"/>
        <v>496.4</v>
      </c>
      <c r="G81" s="15"/>
      <c r="H81" s="42" t="str">
        <f t="shared" si="39"/>
        <v/>
      </c>
      <c r="I81" s="79" t="str">
        <f>IF(H81="","",IF($I$8="A",(RANK(H81,H$11:H$343,1)+COUNTIF(H$11:H81,H81)-1),(RANK(H81,H$11:H$343)+COUNTIF(H$11:H81,H81)-1)))</f>
        <v/>
      </c>
      <c r="J81" s="41"/>
      <c r="K81" s="36" t="str">
        <f t="shared" si="50"/>
        <v/>
      </c>
      <c r="L81" t="str">
        <f t="shared" si="40"/>
        <v/>
      </c>
      <c r="M81" s="117" t="str">
        <f t="shared" si="41"/>
        <v/>
      </c>
      <c r="N81" s="112" t="str">
        <f t="shared" si="51"/>
        <v/>
      </c>
      <c r="O81" s="96" t="str">
        <f t="shared" si="42"/>
        <v/>
      </c>
      <c r="P81" s="96" t="str">
        <f t="shared" si="57"/>
        <v/>
      </c>
      <c r="Q81" s="96" t="str">
        <f t="shared" si="58"/>
        <v/>
      </c>
      <c r="R81" s="92" t="str">
        <f t="shared" si="59"/>
        <v/>
      </c>
      <c r="S81" s="42" t="str">
        <f t="shared" si="52"/>
        <v/>
      </c>
      <c r="T81" s="167" t="str">
        <f>IF(L81="","",VLOOKUP(L81,classifications!C:K,9,FALSE))</f>
        <v/>
      </c>
      <c r="U81" s="168" t="str">
        <f t="shared" si="43"/>
        <v/>
      </c>
      <c r="V81" s="174" t="str">
        <f>IF(U81="","",IF($I$8="A",(RANK(U81,U$11:U$343)+COUNTIF(U$11:U81,U81)-1),(RANK(U81,U$11:U$343,1)+COUNTIF(U$11:U81,U81)-1)))</f>
        <v/>
      </c>
      <c r="W81" s="175"/>
      <c r="X81" s="5" t="str">
        <f>IF(L81="","",VLOOKUP($L81,classifications!$C:$J,6,FALSE))</f>
        <v/>
      </c>
      <c r="Y81" t="str">
        <f t="shared" si="44"/>
        <v/>
      </c>
      <c r="Z81" s="40" t="str">
        <f>IF(Y81="","",IF(I$8="A",(RANK(Y81,Y$11:Y$343,1)+COUNTIF(Y$11:Y81,Y81)-1),(RANK(Y81,Y$11:Y$343)+COUNTIF(Y$11:Y81,Y81)-1)))</f>
        <v/>
      </c>
      <c r="AA81" s="180" t="str">
        <f>IF(L81="","",VLOOKUP($L81,classifications!C:I,7,FALSE))</f>
        <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496.4</v>
      </c>
    </row>
    <row r="82" spans="1:50">
      <c r="A82" s="59" t="str">
        <f>$D$1&amp;72</f>
        <v>UA72</v>
      </c>
      <c r="B82" s="60">
        <f>IF(ISERROR(VLOOKUP(A82,classifications!A:C,3,FALSE)),0,VLOOKUP(A82,classifications!A:C,3,FALSE))</f>
        <v>0</v>
      </c>
      <c r="C82" t="s">
        <v>307</v>
      </c>
      <c r="D82" t="str">
        <f>VLOOKUP($C82,classifications!$C:$J,4,FALSE)</f>
        <v>SC</v>
      </c>
      <c r="E82" t="str">
        <f>VLOOKUP(C82,classifications!C:K,9,FALSE)</f>
        <v>Sparse</v>
      </c>
      <c r="F82">
        <f t="shared" si="38"/>
        <v>456.5</v>
      </c>
      <c r="G82" s="15"/>
      <c r="H82" s="42" t="str">
        <f t="shared" si="39"/>
        <v/>
      </c>
      <c r="I82" s="79" t="str">
        <f>IF(H82="","",IF($I$8="A",(RANK(H82,H$11:H$343,1)+COUNTIF(H$11:H82,H82)-1),(RANK(H82,H$11:H$343)+COUNTIF(H$11:H82,H82)-1)))</f>
        <v/>
      </c>
      <c r="J82" s="41"/>
      <c r="K82" s="36" t="str">
        <f t="shared" si="50"/>
        <v/>
      </c>
      <c r="L82" t="str">
        <f t="shared" si="40"/>
        <v/>
      </c>
      <c r="M82" s="117" t="str">
        <f t="shared" si="41"/>
        <v/>
      </c>
      <c r="N82" s="112" t="str">
        <f t="shared" si="51"/>
        <v/>
      </c>
      <c r="O82" s="96" t="str">
        <f t="shared" si="42"/>
        <v/>
      </c>
      <c r="P82" s="96" t="str">
        <f t="shared" si="57"/>
        <v/>
      </c>
      <c r="Q82" s="96" t="str">
        <f t="shared" si="58"/>
        <v/>
      </c>
      <c r="R82" s="92" t="str">
        <f t="shared" si="59"/>
        <v/>
      </c>
      <c r="S82" s="42" t="str">
        <f t="shared" si="52"/>
        <v/>
      </c>
      <c r="T82" s="167" t="str">
        <f>IF(L82="","",VLOOKUP(L82,classifications!C:K,9,FALSE))</f>
        <v/>
      </c>
      <c r="U82" s="168" t="str">
        <f t="shared" si="43"/>
        <v/>
      </c>
      <c r="V82" s="174" t="str">
        <f>IF(U82="","",IF($I$8="A",(RANK(U82,U$11:U$343)+COUNTIF(U$11:U82,U82)-1),(RANK(U82,U$11:U$343,1)+COUNTIF(U$11:U82,U82)-1)))</f>
        <v/>
      </c>
      <c r="W82" s="175"/>
      <c r="X82" s="5" t="str">
        <f>IF(L82="","",VLOOKUP($L82,classifications!$C:$J,6,FALSE))</f>
        <v/>
      </c>
      <c r="Y82" t="str">
        <f t="shared" si="44"/>
        <v/>
      </c>
      <c r="Z82" s="40" t="str">
        <f>IF(Y82="","",IF(I$8="A",(RANK(Y82,Y$11:Y$343,1)+COUNTIF(Y$11:Y82,Y82)-1),(RANK(Y82,Y$11:Y$343)+COUNTIF(Y$11:Y82,Y82)-1)))</f>
        <v/>
      </c>
      <c r="AA82" s="180" t="str">
        <f>IF(L82="","",VLOOKUP($L82,classifications!C:I,7,FALSE))</f>
        <v/>
      </c>
      <c r="AB82" s="174" t="str">
        <f t="shared" si="53"/>
        <v/>
      </c>
      <c r="AC82" s="174" t="str">
        <f>IF(AB82="","",IF($I$8="A",(RANK(AB82,AB$11:AB$343)+COUNTIF(AB$11:AB82,AB82)-1),(RANK(AB82,AB$11:AB$343,1)+COUNTIF(AB$11:AB82,AB82)-1)))</f>
        <v/>
      </c>
      <c r="AD82" s="174"/>
      <c r="AE82" s="36" t="str">
        <f t="shared" si="37"/>
        <v/>
      </c>
      <c r="AG82" s="15"/>
      <c r="AH82" s="3"/>
      <c r="AI82" s="5" t="str">
        <f>IF(L82="","",VLOOKUP($L82,classifications!$C:$J,8,FALSE))</f>
        <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456.5</v>
      </c>
    </row>
    <row r="83" spans="1:50">
      <c r="A83" s="59" t="str">
        <f>$D$1&amp;73</f>
        <v>UA73</v>
      </c>
      <c r="B83" s="60">
        <f>IF(ISERROR(VLOOKUP(A83,classifications!A:C,3,FALSE)),0,VLOOKUP(A83,classifications!A:C,3,FALSE))</f>
        <v>0</v>
      </c>
      <c r="C83" t="s">
        <v>47</v>
      </c>
      <c r="D83" t="str">
        <f>VLOOKUP($C83,classifications!$C:$J,4,FALSE)</f>
        <v>SD</v>
      </c>
      <c r="E83">
        <f>VLOOKUP(C83,classifications!C:K,9,FALSE)</f>
        <v>0</v>
      </c>
      <c r="F83">
        <f t="shared" si="38"/>
        <v>411.8</v>
      </c>
      <c r="G83" s="15"/>
      <c r="H83" s="42" t="str">
        <f t="shared" si="39"/>
        <v/>
      </c>
      <c r="I83" s="79" t="str">
        <f>IF(H83="","",IF($I$8="A",(RANK(H83,H$11:H$343,1)+COUNTIF(H$11:H83,H83)-1),(RANK(H83,H$11:H$343)+COUNTIF(H$11:H83,H83)-1)))</f>
        <v/>
      </c>
      <c r="J83" s="41"/>
      <c r="K83" s="36" t="str">
        <f t="shared" si="50"/>
        <v/>
      </c>
      <c r="L83" t="str">
        <f t="shared" si="40"/>
        <v/>
      </c>
      <c r="M83" s="117" t="str">
        <f t="shared" si="41"/>
        <v/>
      </c>
      <c r="N83" s="112" t="str">
        <f t="shared" si="51"/>
        <v/>
      </c>
      <c r="O83" s="96" t="str">
        <f t="shared" si="42"/>
        <v/>
      </c>
      <c r="P83" s="96" t="str">
        <f t="shared" si="57"/>
        <v/>
      </c>
      <c r="Q83" s="96" t="str">
        <f t="shared" si="58"/>
        <v/>
      </c>
      <c r="R83" s="92" t="str">
        <f t="shared" si="59"/>
        <v/>
      </c>
      <c r="S83" s="42" t="str">
        <f t="shared" si="52"/>
        <v/>
      </c>
      <c r="T83" s="167" t="str">
        <f>IF(L83="","",VLOOKUP(L83,classifications!C:K,9,FALSE))</f>
        <v/>
      </c>
      <c r="U83" s="168" t="str">
        <f t="shared" si="43"/>
        <v/>
      </c>
      <c r="V83" s="174" t="str">
        <f>IF(U83="","",IF($I$8="A",(RANK(U83,U$11:U$343)+COUNTIF(U$11:U83,U83)-1),(RANK(U83,U$11:U$343,1)+COUNTIF(U$11:U83,U83)-1)))</f>
        <v/>
      </c>
      <c r="W83" s="175"/>
      <c r="X83" s="5" t="str">
        <f>IF(L83="","",VLOOKUP($L83,classifications!$C:$J,6,FALSE))</f>
        <v/>
      </c>
      <c r="Y83" t="str">
        <f t="shared" si="44"/>
        <v/>
      </c>
      <c r="Z83" s="40" t="str">
        <f>IF(Y83="","",IF(I$8="A",(RANK(Y83,Y$11:Y$343,1)+COUNTIF(Y$11:Y83,Y83)-1),(RANK(Y83,Y$11:Y$343)+COUNTIF(Y$11:Y83,Y83)-1)))</f>
        <v/>
      </c>
      <c r="AA83" s="180" t="str">
        <f>IF(L83="","",VLOOKUP($L83,classifications!C:I,7,FALSE))</f>
        <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
      </c>
      <c r="AQ83" s="43" t="str">
        <f t="shared" si="55"/>
        <v/>
      </c>
      <c r="AR83" s="40" t="str">
        <f>IF(AQ83="","",IF(I$8="A",(RANK(AQ83,AQ$11:AQ$343,1)+COUNTIF(AQ$11:AQ83,AQ83)-1),(RANK(AQ83,AQ$11:AQ$343)+COUNTIF(AQ$11:AQ83,AQ83)-1)))</f>
        <v/>
      </c>
      <c r="AS83" s="3" t="str">
        <f t="shared" si="56"/>
        <v/>
      </c>
      <c r="AT83" s="40" t="str">
        <f t="shared" si="48"/>
        <v/>
      </c>
      <c r="AU83" s="43" t="str">
        <f t="shared" si="49"/>
        <v/>
      </c>
      <c r="AX83">
        <f>HLOOKUP($AX$9&amp;$AX$10,Data!$A$1:$ZZ$1980,(MATCH($C83,Data!$A$1:$A$1980,0)),FALSE)</f>
        <v>411.8</v>
      </c>
    </row>
    <row r="84" spans="1:50">
      <c r="A84" s="59" t="str">
        <f>$D$1&amp;74</f>
        <v>UA74</v>
      </c>
      <c r="B84" s="60">
        <f>IF(ISERROR(VLOOKUP(A84,classifications!A:C,3,FALSE)),0,VLOOKUP(A84,classifications!A:C,3,FALSE))</f>
        <v>0</v>
      </c>
      <c r="C84" t="s">
        <v>265</v>
      </c>
      <c r="D84" t="str">
        <f>VLOOKUP($C84,classifications!$C:$J,4,FALSE)</f>
        <v>UA</v>
      </c>
      <c r="E84">
        <f>VLOOKUP(C84,classifications!C:K,9,FALSE)</f>
        <v>0</v>
      </c>
      <c r="F84">
        <f t="shared" si="38"/>
        <v>575.1</v>
      </c>
      <c r="G84" s="15"/>
      <c r="H84" s="42">
        <f t="shared" si="39"/>
        <v>575.1</v>
      </c>
      <c r="I84" s="79">
        <f>IF(H84="","",IF($I$8="A",(RANK(H84,H$11:H$343,1)+COUNTIF(H$11:H84,H84)-1),(RANK(H84,H$11:H$343)+COUNTIF(H$11:H84,H84)-1)))</f>
        <v>45</v>
      </c>
      <c r="J84" s="41"/>
      <c r="K84" s="36" t="str">
        <f t="shared" si="50"/>
        <v/>
      </c>
      <c r="L84" t="str">
        <f t="shared" si="40"/>
        <v/>
      </c>
      <c r="M84" s="117" t="str">
        <f t="shared" si="41"/>
        <v/>
      </c>
      <c r="N84" s="112" t="str">
        <f t="shared" si="51"/>
        <v/>
      </c>
      <c r="O84" s="96" t="str">
        <f t="shared" si="42"/>
        <v/>
      </c>
      <c r="P84" s="96" t="str">
        <f t="shared" si="57"/>
        <v/>
      </c>
      <c r="Q84" s="96" t="str">
        <f t="shared" si="58"/>
        <v/>
      </c>
      <c r="R84" s="92" t="str">
        <f t="shared" si="59"/>
        <v/>
      </c>
      <c r="S84" s="42" t="str">
        <f t="shared" si="52"/>
        <v/>
      </c>
      <c r="T84" s="167" t="str">
        <f>IF(L84="","",VLOOKUP(L84,classifications!C:K,9,FALSE))</f>
        <v/>
      </c>
      <c r="U84" s="168" t="str">
        <f t="shared" si="43"/>
        <v/>
      </c>
      <c r="V84" s="174" t="str">
        <f>IF(U84="","",IF($I$8="A",(RANK(U84,U$11:U$343)+COUNTIF(U$11:U84,U84)-1),(RANK(U84,U$11:U$343,1)+COUNTIF(U$11:U84,U84)-1)))</f>
        <v/>
      </c>
      <c r="W84" s="175"/>
      <c r="X84" s="5" t="str">
        <f>IF(L84="","",VLOOKUP($L84,classifications!$C:$J,6,FALSE))</f>
        <v/>
      </c>
      <c r="Y84" t="str">
        <f t="shared" si="44"/>
        <v/>
      </c>
      <c r="Z84" s="40" t="str">
        <f>IF(Y84="","",IF(I$8="A",(RANK(Y84,Y$11:Y$343,1)+COUNTIF(Y$11:Y84,Y84)-1),(RANK(Y84,Y$11:Y$343)+COUNTIF(Y$11:Y84,Y84)-1)))</f>
        <v/>
      </c>
      <c r="AA84" s="180" t="str">
        <f>IF(L84="","",VLOOKUP($L84,classifications!C:I,7,FALSE))</f>
        <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575.1</v>
      </c>
    </row>
    <row r="85" spans="1:50">
      <c r="A85" s="59" t="str">
        <f>$D$1&amp;75</f>
        <v>UA75</v>
      </c>
      <c r="B85" s="60">
        <f>IF(ISERROR(VLOOKUP(A85,classifications!A:C,3,FALSE)),0,VLOOKUP(A85,classifications!A:C,3,FALSE))</f>
        <v>0</v>
      </c>
      <c r="C85" t="s">
        <v>48</v>
      </c>
      <c r="D85" t="str">
        <f>VLOOKUP($C85,classifications!$C:$J,4,FALSE)</f>
        <v>SD</v>
      </c>
      <c r="E85">
        <f>VLOOKUP(C85,classifications!C:K,9,FALSE)</f>
        <v>0</v>
      </c>
      <c r="F85">
        <f t="shared" si="38"/>
        <v>612.9</v>
      </c>
      <c r="G85" s="15"/>
      <c r="H85" s="42" t="str">
        <f t="shared" si="39"/>
        <v/>
      </c>
      <c r="I85" s="79" t="str">
        <f>IF(H85="","",IF($I$8="A",(RANK(H85,H$11:H$343,1)+COUNTIF(H$11:H85,H85)-1),(RANK(H85,H$11:H$343)+COUNTIF(H$11:H85,H85)-1)))</f>
        <v/>
      </c>
      <c r="J85" s="41"/>
      <c r="K85" s="36" t="str">
        <f t="shared" si="50"/>
        <v/>
      </c>
      <c r="L85" t="str">
        <f t="shared" si="40"/>
        <v/>
      </c>
      <c r="M85" s="117" t="str">
        <f t="shared" si="41"/>
        <v/>
      </c>
      <c r="N85" s="112" t="str">
        <f t="shared" si="51"/>
        <v/>
      </c>
      <c r="O85" s="96" t="str">
        <f t="shared" si="42"/>
        <v/>
      </c>
      <c r="P85" s="96" t="str">
        <f t="shared" si="57"/>
        <v/>
      </c>
      <c r="Q85" s="96" t="str">
        <f t="shared" si="58"/>
        <v/>
      </c>
      <c r="R85" s="92" t="str">
        <f t="shared" si="59"/>
        <v/>
      </c>
      <c r="S85" s="42" t="str">
        <f t="shared" si="52"/>
        <v/>
      </c>
      <c r="T85" s="167" t="str">
        <f>IF(L85="","",VLOOKUP(L85,classifications!C:K,9,FALSE))</f>
        <v/>
      </c>
      <c r="U85" s="168" t="str">
        <f t="shared" si="43"/>
        <v/>
      </c>
      <c r="V85" s="174" t="str">
        <f>IF(U85="","",IF($I$8="A",(RANK(U85,U$11:U$343)+COUNTIF(U$11:U85,U85)-1),(RANK(U85,U$11:U$343,1)+COUNTIF(U$11:U85,U85)-1)))</f>
        <v/>
      </c>
      <c r="W85" s="175"/>
      <c r="X85" s="5" t="str">
        <f>IF(L85="","",VLOOKUP($L85,classifications!$C:$J,6,FALSE))</f>
        <v/>
      </c>
      <c r="Y85" t="str">
        <f t="shared" si="44"/>
        <v/>
      </c>
      <c r="Z85" s="40" t="str">
        <f>IF(Y85="","",IF(I$8="A",(RANK(Y85,Y$11:Y$343,1)+COUNTIF(Y$11:Y85,Y85)-1),(RANK(Y85,Y$11:Y$343)+COUNTIF(Y$11:Y85,Y85)-1)))</f>
        <v/>
      </c>
      <c r="AA85" s="180" t="str">
        <f>IF(L85="","",VLOOKUP($L85,classifications!C:I,7,FALSE))</f>
        <v/>
      </c>
      <c r="AB85" s="174" t="str">
        <f t="shared" si="53"/>
        <v/>
      </c>
      <c r="AC85" s="174" t="str">
        <f>IF(AB85="","",IF($I$8="A",(RANK(AB85,AB$11:AB$343)+COUNTIF(AB$11:AB85,AB85)-1),(RANK(AB85,AB$11:AB$343,1)+COUNTIF(AB$11:AB85,AB85)-1)))</f>
        <v/>
      </c>
      <c r="AD85" s="174"/>
      <c r="AE85" s="36" t="str">
        <f t="shared" si="37"/>
        <v/>
      </c>
      <c r="AG85" s="15"/>
      <c r="AH85" s="3"/>
      <c r="AI85" s="5" t="str">
        <f>IF(L85="","",VLOOKUP($L85,classifications!$C:$J,8,FALSE))</f>
        <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
      </c>
      <c r="AQ85" s="43" t="str">
        <f t="shared" si="55"/>
        <v/>
      </c>
      <c r="AR85" s="40" t="str">
        <f>IF(AQ85="","",IF(I$8="A",(RANK(AQ85,AQ$11:AQ$343,1)+COUNTIF(AQ$11:AQ85,AQ85)-1),(RANK(AQ85,AQ$11:AQ$343)+COUNTIF(AQ$11:AQ85,AQ85)-1)))</f>
        <v/>
      </c>
      <c r="AS85" s="3" t="str">
        <f t="shared" si="56"/>
        <v/>
      </c>
      <c r="AT85" s="40" t="str">
        <f t="shared" si="48"/>
        <v/>
      </c>
      <c r="AU85" s="43" t="str">
        <f t="shared" si="49"/>
        <v/>
      </c>
      <c r="AX85">
        <f>HLOOKUP($AX$9&amp;$AX$10,Data!$A$1:$ZZ$1980,(MATCH($C85,Data!$A$1:$A$1980,0)),FALSE)</f>
        <v>612.9</v>
      </c>
    </row>
    <row r="86" spans="1:50">
      <c r="A86" s="59" t="str">
        <f>$D$1&amp;76</f>
        <v>UA76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534.9</v>
      </c>
      <c r="G86" s="15"/>
      <c r="H86" s="42">
        <f t="shared" ref="H86:H149" si="61">IF(D86=$D$1,HLOOKUP($D$6,$AX$10:$ZZ$355,ROW()-9,FALSE),"")</f>
        <v>534.9</v>
      </c>
      <c r="I86" s="79">
        <f>IF(H86="","",IF($I$8="A",(RANK(H86,H$11:H$343,1)+COUNTIF(H$11:H86,H86)-1),(RANK(H86,H$11:H$343)+COUNTIF(H$11:H86,H86)-1)))</f>
        <v>33</v>
      </c>
      <c r="J86" s="41"/>
      <c r="K86" s="36" t="str">
        <f t="shared" ref="K86:K149" si="62">IF(K85="","",IF(K85+1&gt;(COUNT(H$11:H$343)),"",K85+1))</f>
        <v/>
      </c>
      <c r="L86" t="str">
        <f t="shared" ref="L86:L149" si="63">IF(K86="","",INDEX(C$11:C$343,MATCH(K86,I$11:I$343,0)))</f>
        <v/>
      </c>
      <c r="M86" s="117" t="str">
        <f t="shared" ref="M86:M149" si="64">IF(L86="","",IF(VLOOKUP(L86,C:D,2,FALSE)=$F$3,VLOOKUP(L86,C:H,6,FALSE),""))</f>
        <v/>
      </c>
      <c r="N86" s="112" t="str">
        <f t="shared" ref="N86:N149" si="65">IF(L86="","",IF($H$8="%%",M86*100,M86))</f>
        <v/>
      </c>
      <c r="O86" s="96" t="str">
        <f t="shared" ref="O86:O149" si="66">IF(I$8="A",IF(N86&gt;=$P$7,IF(N86&lt;=$O$10,N86,""),""),IF(N86&lt;=$P$7,IF(N86&gt;=$O$10,N86,""),""))</f>
        <v/>
      </c>
      <c r="P86" s="96" t="str">
        <f t="shared" ref="P86:P149" si="67">IF(I$8="A",IF(N86&gt;$O$10,IF(N86&lt;=$P$10,N86,""),""),IF(N86&lt;$O$10,IF(N86&gt;=$P$10,N86,""),""))</f>
        <v/>
      </c>
      <c r="Q86" s="96" t="str">
        <f t="shared" ref="Q86:Q149" si="68">IF(I$8="A",IF(N86&gt;$P$10,IF(N86&lt;=$Q$10,N86,""),""),IF(N86&lt;$P$10,IF(N86&gt;=$Q$10,N86,""),""))</f>
        <v/>
      </c>
      <c r="R86" s="92" t="str">
        <f t="shared" ref="R86:R149" si="69">IF(I$8="A",IF(N86&gt;$Q$10,N86,""),IF(N86&lt;$Q$10,N86,""))</f>
        <v/>
      </c>
      <c r="S86" s="42" t="str">
        <f t="shared" ref="S86:S149" si="70">IF(L86=D$3,"u","")</f>
        <v/>
      </c>
      <c r="T86" s="167" t="str">
        <f>IF(L86="","",VLOOKUP(L86,classifications!C:K,9,FALSE))</f>
        <v/>
      </c>
      <c r="U86" s="168" t="str">
        <f t="shared" ref="U86:U149" si="71">IF(T86="Sparse",M86,"")</f>
        <v/>
      </c>
      <c r="V86" s="174" t="str">
        <f>IF(U86="","",IF($I$8="A",(RANK(U86,U$11:U$343)+COUNTIF(U$11:U86,U86)-1),(RANK(U86,U$11:U$343,1)+COUNTIF(U$11:U86,U86)-1)))</f>
        <v/>
      </c>
      <c r="W86" s="175"/>
      <c r="X86" s="5" t="str">
        <f>IF(L86="","",VLOOKUP($L86,classifications!$C:$J,6,FALSE))</f>
        <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534.9</v>
      </c>
    </row>
    <row r="87" spans="1:50">
      <c r="A87" s="59" t="str">
        <f>$D$1&amp;77</f>
        <v>UA77</v>
      </c>
      <c r="B87" s="60">
        <f>IF(ISERROR(VLOOKUP(A88,classifications!A:C,3,FALSE)),0,VLOOKUP(A88,classifications!A:C,3,FALSE))</f>
        <v>0</v>
      </c>
      <c r="C87" t="s">
        <v>308</v>
      </c>
      <c r="D87" t="str">
        <f>VLOOKUP($C87,classifications!$C:$J,4,FALSE)</f>
        <v>SC</v>
      </c>
      <c r="E87">
        <f>VLOOKUP(C87,classifications!C:K,9,FALSE)</f>
        <v>0</v>
      </c>
      <c r="F87">
        <f t="shared" si="60"/>
        <v>498.6</v>
      </c>
      <c r="G87" s="15"/>
      <c r="H87" s="42" t="str">
        <f t="shared" si="61"/>
        <v/>
      </c>
      <c r="I87" s="79" t="str">
        <f>IF(H87="","",IF($I$8="A",(RANK(H87,H$11:H$343,1)+COUNTIF(H$11:H87,H87)-1),(RANK(H87,H$11:H$343)+COUNTIF(H$11:H87,H87)-1)))</f>
        <v/>
      </c>
      <c r="J87" s="41"/>
      <c r="K87" s="36" t="str">
        <f t="shared" si="62"/>
        <v/>
      </c>
      <c r="L87" t="str">
        <f t="shared" si="63"/>
        <v/>
      </c>
      <c r="M87" s="117" t="str">
        <f t="shared" si="64"/>
        <v/>
      </c>
      <c r="N87" s="112" t="str">
        <f t="shared" si="65"/>
        <v/>
      </c>
      <c r="O87" s="96" t="str">
        <f t="shared" si="66"/>
        <v/>
      </c>
      <c r="P87" s="96" t="str">
        <f t="shared" si="67"/>
        <v/>
      </c>
      <c r="Q87" s="96" t="str">
        <f t="shared" si="68"/>
        <v/>
      </c>
      <c r="R87" s="92" t="str">
        <f t="shared" si="69"/>
        <v/>
      </c>
      <c r="S87" s="42" t="str">
        <f t="shared" si="70"/>
        <v/>
      </c>
      <c r="T87" s="167" t="str">
        <f>IF(L87="","",VLOOKUP(L87,classifications!C:K,9,FALSE))</f>
        <v/>
      </c>
      <c r="U87" s="168" t="str">
        <f t="shared" si="71"/>
        <v/>
      </c>
      <c r="V87" s="174" t="str">
        <f>IF(U87="","",IF($I$8="A",(RANK(U87,U$11:U$343)+COUNTIF(U$11:U87,U87)-1),(RANK(U87,U$11:U$343,1)+COUNTIF(U$11:U87,U87)-1)))</f>
        <v/>
      </c>
      <c r="W87" s="175"/>
      <c r="X87" s="5" t="str">
        <f>IF(L87="","",VLOOKUP($L87,classifications!$C:$J,6,FALSE))</f>
        <v/>
      </c>
      <c r="Y87" t="str">
        <f t="shared" si="72"/>
        <v/>
      </c>
      <c r="Z87" s="40" t="str">
        <f>IF(Y87="","",IF(I$8="A",(RANK(Y87,Y$11:Y$343,1)+COUNTIF(Y$11:Y87,Y87)-1),(RANK(Y87,Y$11:Y$343)+COUNTIF(Y$11:Y87,Y87)-1)))</f>
        <v/>
      </c>
      <c r="AA87" s="180" t="str">
        <f>IF(L87="","",VLOOKUP($L87,classifications!C:I,7,FALSE))</f>
        <v/>
      </c>
      <c r="AB87" s="174" t="str">
        <f t="shared" si="73"/>
        <v/>
      </c>
      <c r="AC87" s="174" t="str">
        <f>IF(AB87="","",IF($I$8="A",(RANK(AB87,AB$11:AB$343)+COUNTIF(AB$11:AB87,AB87)-1),(RANK(AB87,AB$11:AB$343,1)+COUNTIF(AB$11:AB87,AB87)-1)))</f>
        <v/>
      </c>
      <c r="AD87" s="174"/>
      <c r="AE87" s="36" t="str">
        <f t="shared" si="74"/>
        <v/>
      </c>
      <c r="AG87" s="15"/>
      <c r="AH87" s="3"/>
      <c r="AI87" s="5" t="str">
        <f>IF(L87="","",VLOOKUP($L87,classifications!$C:$J,8,FALSE))</f>
        <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498.6</v>
      </c>
    </row>
    <row r="88" spans="1:50">
      <c r="A88" s="59" t="str">
        <f>$D$1&amp;78</f>
        <v>UA78</v>
      </c>
      <c r="B88" s="60">
        <f>IF(ISERROR(VLOOKUP(A89,classifications!A:C,3,FALSE)),0,VLOOKUP(A89,classifications!A:C,3,FALSE))</f>
        <v>0</v>
      </c>
      <c r="C88" t="s">
        <v>50</v>
      </c>
      <c r="D88" t="str">
        <f>VLOOKUP($C88,classifications!$C:$J,4,FALSE)</f>
        <v>SD</v>
      </c>
      <c r="E88" t="str">
        <f>VLOOKUP(C88,classifications!C:K,9,FALSE)</f>
        <v>Sparse</v>
      </c>
      <c r="F88">
        <f t="shared" si="60"/>
        <v>334.5</v>
      </c>
      <c r="G88" s="15"/>
      <c r="H88" s="42" t="str">
        <f t="shared" si="61"/>
        <v/>
      </c>
      <c r="I88" s="79" t="str">
        <f>IF(H88="","",IF($I$8="A",(RANK(H88,H$11:H$343,1)+COUNTIF(H$11:H88,H88)-1),(RANK(H88,H$11:H$343)+COUNTIF(H$11:H88,H88)-1)))</f>
        <v/>
      </c>
      <c r="J88" s="41"/>
      <c r="K88" s="36" t="str">
        <f t="shared" si="62"/>
        <v/>
      </c>
      <c r="L88" t="str">
        <f t="shared" si="63"/>
        <v/>
      </c>
      <c r="M88" s="117" t="str">
        <f t="shared" si="64"/>
        <v/>
      </c>
      <c r="N88" s="112" t="str">
        <f t="shared" si="65"/>
        <v/>
      </c>
      <c r="O88" s="96" t="str">
        <f t="shared" si="66"/>
        <v/>
      </c>
      <c r="P88" s="96" t="str">
        <f t="shared" si="67"/>
        <v/>
      </c>
      <c r="Q88" s="96" t="str">
        <f t="shared" si="68"/>
        <v/>
      </c>
      <c r="R88" s="92" t="str">
        <f t="shared" si="69"/>
        <v/>
      </c>
      <c r="S88" s="42" t="str">
        <f t="shared" si="70"/>
        <v/>
      </c>
      <c r="T88" s="167" t="str">
        <f>IF(L88="","",VLOOKUP(L88,classifications!C:K,9,FALSE))</f>
        <v/>
      </c>
      <c r="U88" s="168" t="str">
        <f t="shared" si="71"/>
        <v/>
      </c>
      <c r="V88" s="174" t="str">
        <f>IF(U88="","",IF($I$8="A",(RANK(U88,U$11:U$343)+COUNTIF(U$11:U88,U88)-1),(RANK(U88,U$11:U$343,1)+COUNTIF(U$11:U88,U88)-1)))</f>
        <v/>
      </c>
      <c r="W88" s="175"/>
      <c r="X88" s="5" t="str">
        <f>IF(L88="","",VLOOKUP($L88,classifications!$C:$J,6,FALSE))</f>
        <v/>
      </c>
      <c r="Y88" t="str">
        <f t="shared" si="72"/>
        <v/>
      </c>
      <c r="Z88" s="40" t="str">
        <f>IF(Y88="","",IF(I$8="A",(RANK(Y88,Y$11:Y$343,1)+COUNTIF(Y$11:Y88,Y88)-1),(RANK(Y88,Y$11:Y$343)+COUNTIF(Y$11:Y88,Y88)-1)))</f>
        <v/>
      </c>
      <c r="AA88" s="180" t="str">
        <f>IF(L88="","",VLOOKUP($L88,classifications!C:I,7,FALSE))</f>
        <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
      </c>
      <c r="AQ88" s="43" t="str">
        <f t="shared" si="79"/>
        <v/>
      </c>
      <c r="AR88" s="40" t="str">
        <f>IF(AQ88="","",IF(I$8="A",(RANK(AQ88,AQ$11:AQ$343,1)+COUNTIF(AQ$11:AQ88,AQ88)-1),(RANK(AQ88,AQ$11:AQ$343)+COUNTIF(AQ$11:AQ88,AQ88)-1)))</f>
        <v/>
      </c>
      <c r="AS88" s="3" t="str">
        <f t="shared" si="80"/>
        <v/>
      </c>
      <c r="AT88" s="40" t="str">
        <f t="shared" si="81"/>
        <v/>
      </c>
      <c r="AU88" s="43" t="str">
        <f t="shared" si="82"/>
        <v/>
      </c>
      <c r="AX88">
        <f>HLOOKUP($AX$9&amp;$AX$10,Data!$A$1:$ZZ$1980,(MATCH($C88,Data!$A$1:$A$1980,0)),FALSE)</f>
        <v>334.5</v>
      </c>
    </row>
    <row r="89" spans="1:50">
      <c r="A89" s="59" t="str">
        <f>$D$1&amp;79</f>
        <v>UA79</v>
      </c>
      <c r="B89" s="60">
        <f>IF(ISERROR(VLOOKUP(A90,classifications!A:C,3,FALSE)),0,VLOOKUP(A90,classifications!A:C,3,FALSE))</f>
        <v>0</v>
      </c>
      <c r="C89" t="s">
        <v>309</v>
      </c>
      <c r="D89" t="str">
        <f>VLOOKUP($C89,classifications!$C:$J,4,FALSE)</f>
        <v>SC</v>
      </c>
      <c r="E89" t="str">
        <f>VLOOKUP(C89,classifications!C:K,9,FALSE)</f>
        <v>Sparse</v>
      </c>
      <c r="F89">
        <f t="shared" si="60"/>
        <v>401.5</v>
      </c>
      <c r="G89" s="15"/>
      <c r="H89" s="42" t="str">
        <f t="shared" si="61"/>
        <v/>
      </c>
      <c r="I89" s="79" t="str">
        <f>IF(H89="","",IF($I$8="A",(RANK(H89,H$11:H$343,1)+COUNTIF(H$11:H89,H89)-1),(RANK(H89,H$11:H$343)+COUNTIF(H$11:H89,H89)-1)))</f>
        <v/>
      </c>
      <c r="J89" s="41"/>
      <c r="K89" s="36" t="str">
        <f t="shared" si="62"/>
        <v/>
      </c>
      <c r="L89" t="str">
        <f t="shared" si="63"/>
        <v/>
      </c>
      <c r="M89" s="117" t="str">
        <f t="shared" si="64"/>
        <v/>
      </c>
      <c r="N89" s="112" t="str">
        <f t="shared" si="65"/>
        <v/>
      </c>
      <c r="O89" s="96" t="str">
        <f t="shared" si="66"/>
        <v/>
      </c>
      <c r="P89" s="96" t="str">
        <f t="shared" si="67"/>
        <v/>
      </c>
      <c r="Q89" s="96" t="str">
        <f t="shared" si="68"/>
        <v/>
      </c>
      <c r="R89" s="92" t="str">
        <f t="shared" si="69"/>
        <v/>
      </c>
      <c r="S89" s="42" t="str">
        <f t="shared" si="70"/>
        <v/>
      </c>
      <c r="T89" s="167" t="str">
        <f>IF(L89="","",VLOOKUP(L89,classifications!C:K,9,FALSE))</f>
        <v/>
      </c>
      <c r="U89" s="168" t="str">
        <f t="shared" si="71"/>
        <v/>
      </c>
      <c r="V89" s="174" t="str">
        <f>IF(U89="","",IF($I$8="A",(RANK(U89,U$11:U$343)+COUNTIF(U$11:U89,U89)-1),(RANK(U89,U$11:U$343,1)+COUNTIF(U$11:U89,U89)-1)))</f>
        <v/>
      </c>
      <c r="W89" s="175"/>
      <c r="X89" s="5" t="str">
        <f>IF(L89="","",VLOOKUP($L89,classifications!$C:$J,6,FALSE))</f>
        <v/>
      </c>
      <c r="Y89" t="str">
        <f t="shared" si="72"/>
        <v/>
      </c>
      <c r="Z89" s="40" t="str">
        <f>IF(Y89="","",IF(I$8="A",(RANK(Y89,Y$11:Y$343,1)+COUNTIF(Y$11:Y89,Y89)-1),(RANK(Y89,Y$11:Y$343)+COUNTIF(Y$11:Y89,Y89)-1)))</f>
        <v/>
      </c>
      <c r="AA89" s="180" t="str">
        <f>IF(L89="","",VLOOKUP($L89,classifications!C:I,7,FALSE))</f>
        <v/>
      </c>
      <c r="AB89" s="174" t="str">
        <f t="shared" si="73"/>
        <v/>
      </c>
      <c r="AC89" s="174" t="str">
        <f>IF(AB89="","",IF($I$8="A",(RANK(AB89,AB$11:AB$343)+COUNTIF(AB$11:AB89,AB89)-1),(RANK(AB89,AB$11:AB$343,1)+COUNTIF(AB$11:AB89,AB89)-1)))</f>
        <v/>
      </c>
      <c r="AD89" s="174"/>
      <c r="AE89" s="36" t="str">
        <f t="shared" si="74"/>
        <v/>
      </c>
      <c r="AG89" s="15"/>
      <c r="AH89" s="3"/>
      <c r="AI89" s="5" t="str">
        <f>IF(L89="","",VLOOKUP($L89,classifications!$C:$J,8,FALSE))</f>
        <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401.5</v>
      </c>
    </row>
    <row r="90" spans="1:50">
      <c r="A90" s="59" t="str">
        <f>$D$1&amp;80</f>
        <v>UA80</v>
      </c>
      <c r="B90" s="60">
        <f>IF(ISERROR(VLOOKUP(A91,classifications!A:C,3,FALSE)),0,VLOOKUP(A91,classifications!A:C,3,FALSE))</f>
        <v>0</v>
      </c>
      <c r="C90" t="s">
        <v>230</v>
      </c>
      <c r="D90" t="str">
        <f>VLOOKUP($C90,classifications!$C:$J,4,FALSE)</f>
        <v>MD</v>
      </c>
      <c r="E90">
        <f>VLOOKUP(C90,classifications!C:K,9,FALSE)</f>
        <v>0</v>
      </c>
      <c r="F90">
        <f t="shared" si="60"/>
        <v>527.20000000000005</v>
      </c>
      <c r="G90" s="15"/>
      <c r="H90" s="42" t="str">
        <f t="shared" si="61"/>
        <v/>
      </c>
      <c r="I90" s="79" t="str">
        <f>IF(H90="","",IF($I$8="A",(RANK(H90,H$11:H$343,1)+COUNTIF(H$11:H90,H90)-1),(RANK(H90,H$11:H$343)+COUNTIF(H$11:H90,H90)-1)))</f>
        <v/>
      </c>
      <c r="J90" s="41"/>
      <c r="K90" s="36" t="str">
        <f t="shared" si="62"/>
        <v/>
      </c>
      <c r="L90" t="str">
        <f t="shared" si="63"/>
        <v/>
      </c>
      <c r="M90" s="117" t="str">
        <f t="shared" si="64"/>
        <v/>
      </c>
      <c r="N90" s="112" t="str">
        <f t="shared" si="65"/>
        <v/>
      </c>
      <c r="O90" s="96" t="str">
        <f t="shared" si="66"/>
        <v/>
      </c>
      <c r="P90" s="96" t="str">
        <f t="shared" si="67"/>
        <v/>
      </c>
      <c r="Q90" s="96" t="str">
        <f t="shared" si="68"/>
        <v/>
      </c>
      <c r="R90" s="92" t="str">
        <f t="shared" si="69"/>
        <v/>
      </c>
      <c r="S90" s="42" t="str">
        <f t="shared" si="70"/>
        <v/>
      </c>
      <c r="T90" s="167" t="str">
        <f>IF(L90="","",VLOOKUP(L90,classifications!C:K,9,FALSE))</f>
        <v/>
      </c>
      <c r="U90" s="168" t="str">
        <f t="shared" si="71"/>
        <v/>
      </c>
      <c r="V90" s="174" t="str">
        <f>IF(U90="","",IF($I$8="A",(RANK(U90,U$11:U$343)+COUNTIF(U$11:U90,U90)-1),(RANK(U90,U$11:U$343,1)+COUNTIF(U$11:U90,U90)-1)))</f>
        <v/>
      </c>
      <c r="W90" s="175"/>
      <c r="X90" s="5" t="str">
        <f>IF(L90="","",VLOOKUP($L90,classifications!$C:$J,6,FALSE))</f>
        <v/>
      </c>
      <c r="Y90" t="str">
        <f t="shared" si="72"/>
        <v/>
      </c>
      <c r="Z90" s="40" t="str">
        <f>IF(Y90="","",IF(I$8="A",(RANK(Y90,Y$11:Y$343,1)+COUNTIF(Y$11:Y90,Y90)-1),(RANK(Y90,Y$11:Y$343)+COUNTIF(Y$11:Y90,Y90)-1)))</f>
        <v/>
      </c>
      <c r="AA90" s="180" t="str">
        <f>IF(L90="","",VLOOKUP($L90,classifications!C:I,7,FALSE))</f>
        <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527.20000000000005</v>
      </c>
    </row>
    <row r="91" spans="1:50">
      <c r="A91" s="59" t="str">
        <f>$D$1&amp;81</f>
        <v>UA81</v>
      </c>
      <c r="B91" s="60">
        <f>IF(ISERROR(VLOOKUP(A92,classifications!A:C,3,FALSE)),0,VLOOKUP(A92,classifications!A:C,3,FALSE))</f>
        <v>0</v>
      </c>
      <c r="C91" t="s">
        <v>310</v>
      </c>
      <c r="D91" t="str">
        <f>VLOOKUP($C91,classifications!$C:$J,4,FALSE)</f>
        <v>UA</v>
      </c>
      <c r="E91">
        <f>VLOOKUP(C91,classifications!C:K,9,FALSE)</f>
        <v>0</v>
      </c>
      <c r="F91">
        <f t="shared" si="60"/>
        <v>377.9</v>
      </c>
      <c r="G91" s="15"/>
      <c r="H91" s="42">
        <f t="shared" si="61"/>
        <v>377.9</v>
      </c>
      <c r="I91" s="79">
        <f>IF(H91="","",IF($I$8="A",(RANK(H91,H$11:H$343,1)+COUNTIF(H$11:H91,H91)-1),(RANK(H91,H$11:H$343)+COUNTIF(H$11:H91,H91)-1)))</f>
        <v>5</v>
      </c>
      <c r="J91" s="41"/>
      <c r="K91" s="36" t="str">
        <f t="shared" si="62"/>
        <v/>
      </c>
      <c r="L91" t="str">
        <f t="shared" si="63"/>
        <v/>
      </c>
      <c r="M91" s="117" t="str">
        <f t="shared" si="64"/>
        <v/>
      </c>
      <c r="N91" s="112" t="str">
        <f t="shared" si="65"/>
        <v/>
      </c>
      <c r="O91" s="96" t="str">
        <f t="shared" si="66"/>
        <v/>
      </c>
      <c r="P91" s="96" t="str">
        <f t="shared" si="67"/>
        <v/>
      </c>
      <c r="Q91" s="96" t="str">
        <f t="shared" si="68"/>
        <v/>
      </c>
      <c r="R91" s="92" t="str">
        <f t="shared" si="69"/>
        <v/>
      </c>
      <c r="S91" s="42" t="str">
        <f t="shared" si="70"/>
        <v/>
      </c>
      <c r="T91" s="167" t="str">
        <f>IF(L91="","",VLOOKUP(L91,classifications!C:K,9,FALSE))</f>
        <v/>
      </c>
      <c r="U91" s="168" t="str">
        <f t="shared" si="71"/>
        <v/>
      </c>
      <c r="V91" s="174" t="str">
        <f>IF(U91="","",IF($I$8="A",(RANK(U91,U$11:U$343)+COUNTIF(U$11:U91,U91)-1),(RANK(U91,U$11:U$343,1)+COUNTIF(U$11:U91,U91)-1)))</f>
        <v/>
      </c>
      <c r="W91" s="175"/>
      <c r="X91" s="5" t="str">
        <f>IF(L91="","",VLOOKUP($L91,classifications!$C:$J,6,FALSE))</f>
        <v/>
      </c>
      <c r="Y91" t="str">
        <f t="shared" si="72"/>
        <v/>
      </c>
      <c r="Z91" s="40" t="str">
        <f>IF(Y91="","",IF(I$8="A",(RANK(Y91,Y$11:Y$343,1)+COUNTIF(Y$11:Y91,Y91)-1),(RANK(Y91,Y$11:Y$343)+COUNTIF(Y$11:Y91,Y91)-1)))</f>
        <v/>
      </c>
      <c r="AA91" s="180" t="str">
        <f>IF(L91="","",VLOOKUP($L91,classifications!C:I,7,FALSE))</f>
        <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
      </c>
      <c r="AQ91" s="43" t="str">
        <f t="shared" si="79"/>
        <v/>
      </c>
      <c r="AR91" s="40" t="str">
        <f>IF(AQ91="","",IF(I$8="A",(RANK(AQ91,AQ$11:AQ$343,1)+COUNTIF(AQ$11:AQ91,AQ91)-1),(RANK(AQ91,AQ$11:AQ$343)+COUNTIF(AQ$11:AQ91,AQ91)-1)))</f>
        <v/>
      </c>
      <c r="AS91" s="3" t="str">
        <f t="shared" si="80"/>
        <v/>
      </c>
      <c r="AT91" s="40" t="str">
        <f t="shared" si="81"/>
        <v/>
      </c>
      <c r="AU91" s="43" t="str">
        <f t="shared" si="82"/>
        <v/>
      </c>
      <c r="AX91">
        <f>HLOOKUP($AX$9&amp;$AX$10,Data!$A$1:$ZZ$1980,(MATCH($C91,Data!$A$1:$A$1980,0)),FALSE)</f>
        <v>377.9</v>
      </c>
    </row>
    <row r="92" spans="1:50">
      <c r="A92" s="59" t="str">
        <f>$D$1&amp;82</f>
        <v>UA82</v>
      </c>
      <c r="B92" s="60">
        <f>IF(ISERROR(VLOOKUP(A93,classifications!A:C,3,FALSE)),0,VLOOKUP(A93,classifications!A:C,3,FALSE))</f>
        <v>0</v>
      </c>
      <c r="C92" t="s">
        <v>51</v>
      </c>
      <c r="D92" t="str">
        <f>VLOOKUP($C92,classifications!$C:$J,4,FALSE)</f>
        <v>SD</v>
      </c>
      <c r="E92">
        <f>VLOOKUP(C92,classifications!C:K,9,FALSE)</f>
        <v>0</v>
      </c>
      <c r="F92">
        <f t="shared" si="60"/>
        <v>423.7</v>
      </c>
      <c r="G92" s="15"/>
      <c r="H92" s="42" t="str">
        <f t="shared" si="61"/>
        <v/>
      </c>
      <c r="I92" s="79" t="str">
        <f>IF(H92="","",IF($I$8="A",(RANK(H92,H$11:H$343,1)+COUNTIF(H$11:H92,H92)-1),(RANK(H92,H$11:H$343)+COUNTIF(H$11:H92,H92)-1)))</f>
        <v/>
      </c>
      <c r="J92" s="41"/>
      <c r="K92" s="36" t="str">
        <f t="shared" si="62"/>
        <v/>
      </c>
      <c r="L92" t="str">
        <f t="shared" si="63"/>
        <v/>
      </c>
      <c r="M92" s="117" t="str">
        <f t="shared" si="64"/>
        <v/>
      </c>
      <c r="N92" s="112" t="str">
        <f t="shared" si="65"/>
        <v/>
      </c>
      <c r="O92" s="96" t="str">
        <f t="shared" si="66"/>
        <v/>
      </c>
      <c r="P92" s="96" t="str">
        <f t="shared" si="67"/>
        <v/>
      </c>
      <c r="Q92" s="96" t="str">
        <f t="shared" si="68"/>
        <v/>
      </c>
      <c r="R92" s="92" t="str">
        <f t="shared" si="69"/>
        <v/>
      </c>
      <c r="S92" s="42" t="str">
        <f t="shared" si="70"/>
        <v/>
      </c>
      <c r="T92" s="167" t="str">
        <f>IF(L92="","",VLOOKUP(L92,classifications!C:K,9,FALSE))</f>
        <v/>
      </c>
      <c r="U92" s="168" t="str">
        <f t="shared" si="71"/>
        <v/>
      </c>
      <c r="V92" s="174" t="str">
        <f>IF(U92="","",IF($I$8="A",(RANK(U92,U$11:U$343)+COUNTIF(U$11:U92,U92)-1),(RANK(U92,U$11:U$343,1)+COUNTIF(U$11:U92,U92)-1)))</f>
        <v/>
      </c>
      <c r="W92" s="175"/>
      <c r="X92" s="5" t="str">
        <f>IF(L92="","",VLOOKUP($L92,classifications!$C:$J,6,FALSE))</f>
        <v/>
      </c>
      <c r="Y92" t="str">
        <f t="shared" si="72"/>
        <v/>
      </c>
      <c r="Z92" s="40" t="str">
        <f>IF(Y92="","",IF(I$8="A",(RANK(Y92,Y$11:Y$343,1)+COUNTIF(Y$11:Y92,Y92)-1),(RANK(Y92,Y$11:Y$343)+COUNTIF(Y$11:Y92,Y92)-1)))</f>
        <v/>
      </c>
      <c r="AA92" s="180" t="str">
        <f>IF(L92="","",VLOOKUP($L92,classifications!C:I,7,FALSE))</f>
        <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
      </c>
      <c r="AQ92" s="43" t="str">
        <f t="shared" si="79"/>
        <v/>
      </c>
      <c r="AR92" s="40" t="str">
        <f>IF(AQ92="","",IF(I$8="A",(RANK(AQ92,AQ$11:AQ$343,1)+COUNTIF(AQ$11:AQ92,AQ92)-1),(RANK(AQ92,AQ$11:AQ$343)+COUNTIF(AQ$11:AQ92,AQ92)-1)))</f>
        <v/>
      </c>
      <c r="AS92" s="3" t="str">
        <f t="shared" si="80"/>
        <v/>
      </c>
      <c r="AT92" s="40" t="str">
        <f t="shared" si="81"/>
        <v/>
      </c>
      <c r="AU92" s="43" t="str">
        <f t="shared" si="82"/>
        <v/>
      </c>
      <c r="AX92">
        <f>HLOOKUP($AX$9&amp;$AX$10,Data!$A$1:$ZZ$1980,(MATCH($C92,Data!$A$1:$A$1980,0)),FALSE)</f>
        <v>423.7</v>
      </c>
    </row>
    <row r="93" spans="1:50">
      <c r="A93" s="59" t="str">
        <f>$D$1&amp;83</f>
        <v>UA83</v>
      </c>
      <c r="B93" s="60">
        <f>IF(ISERROR(VLOOKUP(A94,classifications!A:C,3,FALSE)),0,VLOOKUP(A94,classifications!A:C,3,FALSE))</f>
        <v>0</v>
      </c>
      <c r="C93" t="s">
        <v>267</v>
      </c>
      <c r="D93" t="str">
        <f>VLOOKUP($C93,classifications!$C:$J,4,FALSE)</f>
        <v>UA</v>
      </c>
      <c r="E93" t="str">
        <f>VLOOKUP(C93,classifications!C:K,9,FALSE)</f>
        <v>Sparse</v>
      </c>
      <c r="F93">
        <f t="shared" si="60"/>
        <v>565.20000000000005</v>
      </c>
      <c r="G93" s="15"/>
      <c r="H93" s="42">
        <f t="shared" si="61"/>
        <v>565.20000000000005</v>
      </c>
      <c r="I93" s="79">
        <f>IF(H93="","",IF($I$8="A",(RANK(H93,H$11:H$343,1)+COUNTIF(H$11:H93,H93)-1),(RANK(H93,H$11:H$343)+COUNTIF(H$11:H93,H93)-1)))</f>
        <v>41</v>
      </c>
      <c r="J93" s="41"/>
      <c r="K93" s="36" t="str">
        <f t="shared" si="62"/>
        <v/>
      </c>
      <c r="L93" t="str">
        <f t="shared" si="63"/>
        <v/>
      </c>
      <c r="M93" s="117" t="str">
        <f t="shared" si="64"/>
        <v/>
      </c>
      <c r="N93" s="112" t="str">
        <f t="shared" si="65"/>
        <v/>
      </c>
      <c r="O93" s="96" t="str">
        <f t="shared" si="66"/>
        <v/>
      </c>
      <c r="P93" s="96" t="str">
        <f t="shared" si="67"/>
        <v/>
      </c>
      <c r="Q93" s="96" t="str">
        <f t="shared" si="68"/>
        <v/>
      </c>
      <c r="R93" s="92" t="str">
        <f t="shared" si="69"/>
        <v/>
      </c>
      <c r="S93" s="42" t="str">
        <f t="shared" si="70"/>
        <v/>
      </c>
      <c r="T93" s="167" t="str">
        <f>IF(L93="","",VLOOKUP(L93,classifications!C:K,9,FALSE))</f>
        <v/>
      </c>
      <c r="U93" s="168" t="str">
        <f t="shared" si="71"/>
        <v/>
      </c>
      <c r="V93" s="174" t="str">
        <f>IF(U93="","",IF($I$8="A",(RANK(U93,U$11:U$343)+COUNTIF(U$11:U93,U93)-1),(RANK(U93,U$11:U$343,1)+COUNTIF(U$11:U93,U93)-1)))</f>
        <v/>
      </c>
      <c r="W93" s="175"/>
      <c r="X93" s="5" t="str">
        <f>IF(L93="","",VLOOKUP($L93,classifications!$C:$J,6,FALSE))</f>
        <v/>
      </c>
      <c r="Y93" t="str">
        <f t="shared" si="72"/>
        <v/>
      </c>
      <c r="Z93" s="40" t="str">
        <f>IF(Y93="","",IF(I$8="A",(RANK(Y93,Y$11:Y$343,1)+COUNTIF(Y$11:Y93,Y93)-1),(RANK(Y93,Y$11:Y$343)+COUNTIF(Y$11:Y93,Y93)-1)))</f>
        <v/>
      </c>
      <c r="AA93" s="180" t="str">
        <f>IF(L93="","",VLOOKUP($L93,classifications!C:I,7,FALSE))</f>
        <v/>
      </c>
      <c r="AB93" s="174" t="str">
        <f t="shared" si="73"/>
        <v/>
      </c>
      <c r="AC93" s="174" t="str">
        <f>IF(AB93="","",IF($I$8="A",(RANK(AB93,AB$11:AB$343)+COUNTIF(AB$11:AB93,AB93)-1),(RANK(AB93,AB$11:AB$343,1)+COUNTIF(AB$11:AB93,AB93)-1)))</f>
        <v/>
      </c>
      <c r="AD93" s="174"/>
      <c r="AE93" s="36" t="str">
        <f t="shared" si="74"/>
        <v/>
      </c>
      <c r="AG93" s="15"/>
      <c r="AH93" s="3"/>
      <c r="AI93" s="5" t="str">
        <f>IF(L93="","",VLOOKUP($L93,classifications!$C:$J,8,FALSE))</f>
        <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565.20000000000005</v>
      </c>
    </row>
    <row r="94" spans="1:50">
      <c r="A94" s="59" t="str">
        <f>$D$1&amp;84</f>
        <v>UA84</v>
      </c>
      <c r="B94" s="60">
        <f>IF(ISERROR(VLOOKUP(A95,classifications!A:C,3,FALSE)),0,VLOOKUP(A95,classifications!A:C,3,FALSE))</f>
        <v>0</v>
      </c>
      <c r="C94" t="s">
        <v>231</v>
      </c>
      <c r="D94" t="str">
        <f>VLOOKUP($C94,classifications!$C:$J,4,FALSE)</f>
        <v>MD</v>
      </c>
      <c r="E94">
        <f>VLOOKUP(C94,classifications!C:K,9,FALSE)</f>
        <v>0</v>
      </c>
      <c r="F94">
        <f t="shared" si="60"/>
        <v>542.70000000000005</v>
      </c>
      <c r="G94" s="15"/>
      <c r="H94" s="42" t="str">
        <f t="shared" si="61"/>
        <v/>
      </c>
      <c r="I94" s="79" t="str">
        <f>IF(H94="","",IF($I$8="A",(RANK(H94,H$11:H$343,1)+COUNTIF(H$11:H94,H94)-1),(RANK(H94,H$11:H$343)+COUNTIF(H$11:H94,H94)-1)))</f>
        <v/>
      </c>
      <c r="J94" s="41"/>
      <c r="K94" s="36" t="str">
        <f t="shared" si="62"/>
        <v/>
      </c>
      <c r="L94" t="str">
        <f t="shared" si="63"/>
        <v/>
      </c>
      <c r="M94" s="117" t="str">
        <f t="shared" si="64"/>
        <v/>
      </c>
      <c r="N94" s="112" t="str">
        <f t="shared" si="65"/>
        <v/>
      </c>
      <c r="O94" s="96" t="str">
        <f t="shared" si="66"/>
        <v/>
      </c>
      <c r="P94" s="96" t="str">
        <f t="shared" si="67"/>
        <v/>
      </c>
      <c r="Q94" s="96" t="str">
        <f t="shared" si="68"/>
        <v/>
      </c>
      <c r="R94" s="92" t="str">
        <f t="shared" si="69"/>
        <v/>
      </c>
      <c r="S94" s="42" t="str">
        <f t="shared" si="70"/>
        <v/>
      </c>
      <c r="T94" s="167" t="str">
        <f>IF(L94="","",VLOOKUP(L94,classifications!C:K,9,FALSE))</f>
        <v/>
      </c>
      <c r="U94" s="168" t="str">
        <f t="shared" si="71"/>
        <v/>
      </c>
      <c r="V94" s="174" t="str">
        <f>IF(U94="","",IF($I$8="A",(RANK(U94,U$11:U$343)+COUNTIF(U$11:U94,U94)-1),(RANK(U94,U$11:U$343,1)+COUNTIF(U$11:U94,U94)-1)))</f>
        <v/>
      </c>
      <c r="W94" s="175"/>
      <c r="X94" s="5" t="str">
        <f>IF(L94="","",VLOOKUP($L94,classifications!$C:$J,6,FALSE))</f>
        <v/>
      </c>
      <c r="Y94" t="str">
        <f t="shared" si="72"/>
        <v/>
      </c>
      <c r="Z94" s="40" t="str">
        <f>IF(Y94="","",IF(I$8="A",(RANK(Y94,Y$11:Y$343,1)+COUNTIF(Y$11:Y94,Y94)-1),(RANK(Y94,Y$11:Y$343)+COUNTIF(Y$11:Y94,Y94)-1)))</f>
        <v/>
      </c>
      <c r="AA94" s="180" t="str">
        <f>IF(L94="","",VLOOKUP($L94,classifications!C:I,7,FALSE))</f>
        <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542.70000000000005</v>
      </c>
    </row>
    <row r="95" spans="1:50">
      <c r="A95" s="59" t="str">
        <f>$D$1&amp;85</f>
        <v>UA85</v>
      </c>
      <c r="B95" s="60">
        <f>IF(ISERROR(VLOOKUP(A96,classifications!A:C,3,FALSE)),0,VLOOKUP(A96,classifications!A:C,3,FALSE))</f>
        <v>0</v>
      </c>
      <c r="C95" t="s">
        <v>203</v>
      </c>
      <c r="D95" t="str">
        <f>VLOOKUP($C95,classifications!$C:$J,4,FALSE)</f>
        <v>L</v>
      </c>
      <c r="E95">
        <f>VLOOKUP(C95,classifications!C:K,9,FALSE)</f>
        <v>0</v>
      </c>
      <c r="F95">
        <f t="shared" si="60"/>
        <v>289.60000000000002</v>
      </c>
      <c r="G95" s="15"/>
      <c r="H95" s="42" t="str">
        <f t="shared" si="61"/>
        <v/>
      </c>
      <c r="I95" s="79" t="str">
        <f>IF(H95="","",IF($I$8="A",(RANK(H95,H$11:H$343,1)+COUNTIF(H$11:H95,H95)-1),(RANK(H95,H$11:H$343)+COUNTIF(H$11:H95,H95)-1)))</f>
        <v/>
      </c>
      <c r="J95" s="41"/>
      <c r="K95" s="36" t="str">
        <f t="shared" si="62"/>
        <v/>
      </c>
      <c r="L95" t="str">
        <f t="shared" si="63"/>
        <v/>
      </c>
      <c r="M95" s="117" t="str">
        <f t="shared" si="64"/>
        <v/>
      </c>
      <c r="N95" s="112" t="str">
        <f t="shared" si="65"/>
        <v/>
      </c>
      <c r="O95" s="96" t="str">
        <f t="shared" si="66"/>
        <v/>
      </c>
      <c r="P95" s="96" t="str">
        <f t="shared" si="67"/>
        <v/>
      </c>
      <c r="Q95" s="96" t="str">
        <f t="shared" si="68"/>
        <v/>
      </c>
      <c r="R95" s="92" t="str">
        <f t="shared" si="69"/>
        <v/>
      </c>
      <c r="S95" s="42" t="str">
        <f t="shared" si="70"/>
        <v/>
      </c>
      <c r="T95" s="167" t="str">
        <f>IF(L95="","",VLOOKUP(L95,classifications!C:K,9,FALSE))</f>
        <v/>
      </c>
      <c r="U95" s="168" t="str">
        <f t="shared" si="71"/>
        <v/>
      </c>
      <c r="V95" s="174" t="str">
        <f>IF(U95="","",IF($I$8="A",(RANK(U95,U$11:U$343)+COUNTIF(U$11:U95,U95)-1),(RANK(U95,U$11:U$343,1)+COUNTIF(U$11:U95,U95)-1)))</f>
        <v/>
      </c>
      <c r="W95" s="175"/>
      <c r="X95" s="5" t="str">
        <f>IF(L95="","",VLOOKUP($L95,classifications!$C:$J,6,FALSE))</f>
        <v/>
      </c>
      <c r="Y95" t="str">
        <f t="shared" si="72"/>
        <v/>
      </c>
      <c r="Z95" s="40" t="str">
        <f>IF(Y95="","",IF(I$8="A",(RANK(Y95,Y$11:Y$343,1)+COUNTIF(Y$11:Y95,Y95)-1),(RANK(Y95,Y$11:Y$343)+COUNTIF(Y$11:Y95,Y95)-1)))</f>
        <v/>
      </c>
      <c r="AA95" s="180" t="str">
        <f>IF(L95="","",VLOOKUP($L95,classifications!C:I,7,FALSE))</f>
        <v/>
      </c>
      <c r="AB95" s="174" t="str">
        <f t="shared" si="73"/>
        <v/>
      </c>
      <c r="AC95" s="174" t="str">
        <f>IF(AB95="","",IF($I$8="A",(RANK(AB95,AB$11:AB$343)+COUNTIF(AB$11:AB95,AB95)-1),(RANK(AB95,AB$11:AB$343,1)+COUNTIF(AB$11:AB95,AB95)-1)))</f>
        <v/>
      </c>
      <c r="AD95" s="174"/>
      <c r="AE95" s="36" t="str">
        <f t="shared" si="74"/>
        <v/>
      </c>
      <c r="AG95" s="15"/>
      <c r="AH95" s="3"/>
      <c r="AI95" s="5" t="str">
        <f>IF(L95="","",VLOOKUP($L95,classifications!$C:$J,8,FALSE))</f>
        <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
      </c>
      <c r="AQ95" s="43" t="str">
        <f t="shared" si="79"/>
        <v/>
      </c>
      <c r="AR95" s="40" t="str">
        <f>IF(AQ95="","",IF(I$8="A",(RANK(AQ95,AQ$11:AQ$343,1)+COUNTIF(AQ$11:AQ95,AQ95)-1),(RANK(AQ95,AQ$11:AQ$343)+COUNTIF(AQ$11:AQ95,AQ95)-1)))</f>
        <v/>
      </c>
      <c r="AS95" s="3" t="str">
        <f t="shared" si="80"/>
        <v/>
      </c>
      <c r="AT95" s="40" t="str">
        <f t="shared" si="81"/>
        <v/>
      </c>
      <c r="AU95" s="43" t="str">
        <f t="shared" si="82"/>
        <v/>
      </c>
      <c r="AX95">
        <f>HLOOKUP($AX$9&amp;$AX$10,Data!$A$1:$ZZ$1980,(MATCH($C95,Data!$A$1:$A$1980,0)),FALSE)</f>
        <v>289.60000000000002</v>
      </c>
    </row>
    <row r="96" spans="1:50">
      <c r="A96" s="59" t="str">
        <f>$D$1&amp;86</f>
        <v>UA86</v>
      </c>
      <c r="B96" s="60">
        <f>IF(ISERROR(VLOOKUP(A97,classifications!A:C,3,FALSE)),0,VLOOKUP(A97,classifications!A:C,3,FALSE))</f>
        <v>0</v>
      </c>
      <c r="C96" t="s">
        <v>52</v>
      </c>
      <c r="D96" t="str">
        <f>VLOOKUP($C96,classifications!$C:$J,4,FALSE)</f>
        <v>SD</v>
      </c>
      <c r="E96" t="str">
        <f>VLOOKUP(C96,classifications!C:K,9,FALSE)</f>
        <v>Sparse</v>
      </c>
      <c r="F96">
        <f t="shared" si="60"/>
        <v>335.9</v>
      </c>
      <c r="G96" s="15"/>
      <c r="H96" s="42" t="str">
        <f t="shared" si="61"/>
        <v/>
      </c>
      <c r="I96" s="79" t="str">
        <f>IF(H96="","",IF($I$8="A",(RANK(H96,H$11:H$343,1)+COUNTIF(H$11:H96,H96)-1),(RANK(H96,H$11:H$343)+COUNTIF(H$11:H96,H96)-1)))</f>
        <v/>
      </c>
      <c r="J96" s="41"/>
      <c r="K96" s="36" t="str">
        <f t="shared" si="62"/>
        <v/>
      </c>
      <c r="L96" t="str">
        <f t="shared" si="63"/>
        <v/>
      </c>
      <c r="M96" s="117" t="str">
        <f t="shared" si="64"/>
        <v/>
      </c>
      <c r="N96" s="112" t="str">
        <f t="shared" si="65"/>
        <v/>
      </c>
      <c r="O96" s="96" t="str">
        <f t="shared" si="66"/>
        <v/>
      </c>
      <c r="P96" s="96" t="str">
        <f t="shared" si="67"/>
        <v/>
      </c>
      <c r="Q96" s="96" t="str">
        <f t="shared" si="68"/>
        <v/>
      </c>
      <c r="R96" s="92" t="str">
        <f t="shared" si="69"/>
        <v/>
      </c>
      <c r="S96" s="42" t="str">
        <f t="shared" si="70"/>
        <v/>
      </c>
      <c r="T96" s="167" t="str">
        <f>IF(L96="","",VLOOKUP(L96,classifications!C:K,9,FALSE))</f>
        <v/>
      </c>
      <c r="U96" s="168" t="str">
        <f t="shared" si="71"/>
        <v/>
      </c>
      <c r="V96" s="174" t="str">
        <f>IF(U96="","",IF($I$8="A",(RANK(U96,U$11:U$343)+COUNTIF(U$11:U96,U96)-1),(RANK(U96,U$11:U$343,1)+COUNTIF(U$11:U96,U96)-1)))</f>
        <v/>
      </c>
      <c r="W96" s="175"/>
      <c r="X96" s="5" t="str">
        <f>IF(L96="","",VLOOKUP($L96,classifications!$C:$J,6,FALSE))</f>
        <v/>
      </c>
      <c r="Y96" t="str">
        <f t="shared" si="72"/>
        <v/>
      </c>
      <c r="Z96" s="40" t="str">
        <f>IF(Y96="","",IF(I$8="A",(RANK(Y96,Y$11:Y$343,1)+COUNTIF(Y$11:Y96,Y96)-1),(RANK(Y96,Y$11:Y$343)+COUNTIF(Y$11:Y96,Y96)-1)))</f>
        <v/>
      </c>
      <c r="AA96" s="180" t="str">
        <f>IF(L96="","",VLOOKUP($L96,classifications!C:I,7,FALSE))</f>
        <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
      </c>
      <c r="AQ96" s="43" t="str">
        <f t="shared" si="79"/>
        <v/>
      </c>
      <c r="AR96" s="40" t="str">
        <f>IF(AQ96="","",IF(I$8="A",(RANK(AQ96,AQ$11:AQ$343,1)+COUNTIF(AQ$11:AQ96,AQ96)-1),(RANK(AQ96,AQ$11:AQ$343)+COUNTIF(AQ$11:AQ96,AQ96)-1)))</f>
        <v/>
      </c>
      <c r="AS96" s="3" t="str">
        <f t="shared" si="80"/>
        <v/>
      </c>
      <c r="AT96" s="40" t="str">
        <f t="shared" si="81"/>
        <v/>
      </c>
      <c r="AU96" s="43" t="str">
        <f t="shared" si="82"/>
        <v/>
      </c>
      <c r="AX96">
        <f>HLOOKUP($AX$9&amp;$AX$10,Data!$A$1:$ZZ$1980,(MATCH($C96,Data!$A$1:$A$1980,0)),FALSE)</f>
        <v>335.9</v>
      </c>
    </row>
    <row r="97" spans="1:50">
      <c r="A97" s="59" t="str">
        <f>$D$1&amp;87</f>
        <v>UA87</v>
      </c>
      <c r="B97" s="60">
        <f>IF(ISERROR(VLOOKUP(A98,classifications!A:C,3,FALSE)),0,VLOOKUP(A98,classifications!A:C,3,FALSE))</f>
        <v>0</v>
      </c>
      <c r="C97" t="s">
        <v>53</v>
      </c>
      <c r="D97" t="str">
        <f>VLOOKUP($C97,classifications!$C:$J,4,FALSE)</f>
        <v>SD</v>
      </c>
      <c r="E97" t="str">
        <f>VLOOKUP(C97,classifications!C:K,9,FALSE)</f>
        <v>Sparse</v>
      </c>
      <c r="F97">
        <f t="shared" si="60"/>
        <v>255.7</v>
      </c>
      <c r="G97" s="15"/>
      <c r="H97" s="42" t="str">
        <f t="shared" si="61"/>
        <v/>
      </c>
      <c r="I97" s="79" t="str">
        <f>IF(H97="","",IF($I$8="A",(RANK(H97,H$11:H$343,1)+COUNTIF(H$11:H97,H97)-1),(RANK(H97,H$11:H$343)+COUNTIF(H$11:H97,H97)-1)))</f>
        <v/>
      </c>
      <c r="J97" s="41"/>
      <c r="K97" s="36" t="str">
        <f t="shared" si="62"/>
        <v/>
      </c>
      <c r="L97" t="str">
        <f t="shared" si="63"/>
        <v/>
      </c>
      <c r="M97" s="117" t="str">
        <f t="shared" si="64"/>
        <v/>
      </c>
      <c r="N97" s="112" t="str">
        <f t="shared" si="65"/>
        <v/>
      </c>
      <c r="O97" s="96" t="str">
        <f t="shared" si="66"/>
        <v/>
      </c>
      <c r="P97" s="96" t="str">
        <f t="shared" si="67"/>
        <v/>
      </c>
      <c r="Q97" s="96" t="str">
        <f t="shared" si="68"/>
        <v/>
      </c>
      <c r="R97" s="92" t="str">
        <f t="shared" si="69"/>
        <v/>
      </c>
      <c r="S97" s="42" t="str">
        <f t="shared" si="70"/>
        <v/>
      </c>
      <c r="T97" s="167" t="str">
        <f>IF(L97="","",VLOOKUP(L97,classifications!C:K,9,FALSE))</f>
        <v/>
      </c>
      <c r="U97" s="168" t="str">
        <f t="shared" si="71"/>
        <v/>
      </c>
      <c r="V97" s="174" t="str">
        <f>IF(U97="","",IF($I$8="A",(RANK(U97,U$11:U$343)+COUNTIF(U$11:U97,U97)-1),(RANK(U97,U$11:U$343,1)+COUNTIF(U$11:U97,U97)-1)))</f>
        <v/>
      </c>
      <c r="W97" s="175"/>
      <c r="X97" s="5" t="str">
        <f>IF(L97="","",VLOOKUP($L97,classifications!$C:$J,6,FALSE))</f>
        <v/>
      </c>
      <c r="Y97" t="str">
        <f t="shared" si="72"/>
        <v/>
      </c>
      <c r="Z97" s="40" t="str">
        <f>IF(Y97="","",IF(I$8="A",(RANK(Y97,Y$11:Y$343,1)+COUNTIF(Y$11:Y97,Y97)-1),(RANK(Y97,Y$11:Y$343)+COUNTIF(Y$11:Y97,Y97)-1)))</f>
        <v/>
      </c>
      <c r="AA97" s="180" t="str">
        <f>IF(L97="","",VLOOKUP($L97,classifications!C:I,7,FALSE))</f>
        <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
      </c>
      <c r="AQ97" s="43" t="str">
        <f t="shared" si="79"/>
        <v/>
      </c>
      <c r="AR97" s="40" t="str">
        <f>IF(AQ97="","",IF(I$8="A",(RANK(AQ97,AQ$11:AQ$343,1)+COUNTIF(AQ$11:AQ97,AQ97)-1),(RANK(AQ97,AQ$11:AQ$343)+COUNTIF(AQ$11:AQ97,AQ97)-1)))</f>
        <v/>
      </c>
      <c r="AS97" s="3" t="str">
        <f t="shared" si="80"/>
        <v/>
      </c>
      <c r="AT97" s="40" t="str">
        <f t="shared" si="81"/>
        <v/>
      </c>
      <c r="AU97" s="43" t="str">
        <f t="shared" si="82"/>
        <v/>
      </c>
      <c r="AX97">
        <f>HLOOKUP($AX$9&amp;$AX$10,Data!$A$1:$ZZ$1980,(MATCH($C97,Data!$A$1:$A$1980,0)),FALSE)</f>
        <v>255.7</v>
      </c>
    </row>
    <row r="98" spans="1:50">
      <c r="A98" s="59" t="str">
        <f>$D$1&amp;88</f>
        <v>UA88</v>
      </c>
      <c r="B98" s="60">
        <f>IF(ISERROR(VLOOKUP(A99,classifications!A:C,3,FALSE)),0,VLOOKUP(A99,classifications!A:C,3,FALSE))</f>
        <v>0</v>
      </c>
      <c r="C98" t="s">
        <v>55</v>
      </c>
      <c r="D98" t="str">
        <f>VLOOKUP($C98,classifications!$C:$J,4,FALSE)</f>
        <v>SD</v>
      </c>
      <c r="E98">
        <f>VLOOKUP(C98,classifications!C:K,9,FALSE)</f>
        <v>0</v>
      </c>
      <c r="F98">
        <f t="shared" si="60"/>
        <v>459.4</v>
      </c>
      <c r="G98" s="15"/>
      <c r="H98" s="42" t="str">
        <f t="shared" si="61"/>
        <v/>
      </c>
      <c r="I98" s="79" t="str">
        <f>IF(H98="","",IF($I$8="A",(RANK(H98,H$11:H$343,1)+COUNTIF(H$11:H98,H98)-1),(RANK(H98,H$11:H$343)+COUNTIF(H$11:H98,H98)-1)))</f>
        <v/>
      </c>
      <c r="J98" s="41"/>
      <c r="K98" s="36" t="str">
        <f t="shared" si="62"/>
        <v/>
      </c>
      <c r="L98" t="str">
        <f t="shared" si="63"/>
        <v/>
      </c>
      <c r="M98" s="117" t="str">
        <f t="shared" si="64"/>
        <v/>
      </c>
      <c r="N98" s="112" t="str">
        <f t="shared" si="65"/>
        <v/>
      </c>
      <c r="O98" s="96" t="str">
        <f t="shared" si="66"/>
        <v/>
      </c>
      <c r="P98" s="96" t="str">
        <f t="shared" si="67"/>
        <v/>
      </c>
      <c r="Q98" s="96" t="str">
        <f t="shared" si="68"/>
        <v/>
      </c>
      <c r="R98" s="92" t="str">
        <f t="shared" si="69"/>
        <v/>
      </c>
      <c r="S98" s="42" t="str">
        <f t="shared" si="70"/>
        <v/>
      </c>
      <c r="T98" s="167" t="str">
        <f>IF(L98="","",VLOOKUP(L98,classifications!C:K,9,FALSE))</f>
        <v/>
      </c>
      <c r="U98" s="168" t="str">
        <f t="shared" si="71"/>
        <v/>
      </c>
      <c r="V98" s="174" t="str">
        <f>IF(U98="","",IF($I$8="A",(RANK(U98,U$11:U$343)+COUNTIF(U$11:U98,U98)-1),(RANK(U98,U$11:U$343,1)+COUNTIF(U$11:U98,U98)-1)))</f>
        <v/>
      </c>
      <c r="W98" s="175"/>
      <c r="X98" s="5" t="str">
        <f>IF(L98="","",VLOOKUP($L98,classifications!$C:$J,6,FALSE))</f>
        <v/>
      </c>
      <c r="Y98" t="str">
        <f t="shared" si="72"/>
        <v/>
      </c>
      <c r="Z98" s="40" t="str">
        <f>IF(Y98="","",IF(I$8="A",(RANK(Y98,Y$11:Y$343,1)+COUNTIF(Y$11:Y98,Y98)-1),(RANK(Y98,Y$11:Y$343)+COUNTIF(Y$11:Y98,Y98)-1)))</f>
        <v/>
      </c>
      <c r="AA98" s="180" t="str">
        <f>IF(L98="","",VLOOKUP($L98,classifications!C:I,7,FALSE))</f>
        <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
      </c>
      <c r="AQ98" s="43" t="str">
        <f t="shared" si="79"/>
        <v/>
      </c>
      <c r="AR98" s="40" t="str">
        <f>IF(AQ98="","",IF(I$8="A",(RANK(AQ98,AQ$11:AQ$343,1)+COUNTIF(AQ$11:AQ98,AQ98)-1),(RANK(AQ98,AQ$11:AQ$343)+COUNTIF(AQ$11:AQ98,AQ98)-1)))</f>
        <v/>
      </c>
      <c r="AS98" s="3" t="str">
        <f t="shared" si="80"/>
        <v/>
      </c>
      <c r="AT98" s="40" t="str">
        <f t="shared" si="81"/>
        <v/>
      </c>
      <c r="AU98" s="43" t="str">
        <f t="shared" si="82"/>
        <v/>
      </c>
      <c r="AX98">
        <f>HLOOKUP($AX$9&amp;$AX$10,Data!$A$1:$ZZ$1980,(MATCH($C98,Data!$A$1:$A$1980,0)),FALSE)</f>
        <v>459.4</v>
      </c>
    </row>
    <row r="99" spans="1:50">
      <c r="A99" s="59" t="str">
        <f>$D$1&amp;89</f>
        <v>UA89</v>
      </c>
      <c r="B99" s="60">
        <f>IF(ISERROR(VLOOKUP(A100,classifications!A:C,3,FALSE)),0,VLOOKUP(A100,classifications!A:C,3,FALSE))</f>
        <v>0</v>
      </c>
      <c r="C99" t="s">
        <v>56</v>
      </c>
      <c r="D99" t="str">
        <f>VLOOKUP($C99,classifications!$C:$J,4,FALSE)</f>
        <v>SD</v>
      </c>
      <c r="E99">
        <f>VLOOKUP(C99,classifications!C:K,9,FALSE)</f>
        <v>0</v>
      </c>
      <c r="F99">
        <f t="shared" si="60"/>
        <v>458.2</v>
      </c>
      <c r="G99" s="15"/>
      <c r="H99" s="42" t="str">
        <f t="shared" si="61"/>
        <v/>
      </c>
      <c r="I99" s="79" t="str">
        <f>IF(H99="","",IF($I$8="A",(RANK(H99,H$11:H$343,1)+COUNTIF(H$11:H99,H99)-1),(RANK(H99,H$11:H$343)+COUNTIF(H$11:H99,H99)-1)))</f>
        <v/>
      </c>
      <c r="J99" s="41"/>
      <c r="K99" s="36" t="str">
        <f t="shared" si="62"/>
        <v/>
      </c>
      <c r="L99" t="str">
        <f t="shared" si="63"/>
        <v/>
      </c>
      <c r="M99" s="117" t="str">
        <f t="shared" si="64"/>
        <v/>
      </c>
      <c r="N99" s="112" t="str">
        <f t="shared" si="65"/>
        <v/>
      </c>
      <c r="O99" s="96" t="str">
        <f t="shared" si="66"/>
        <v/>
      </c>
      <c r="P99" s="96" t="str">
        <f t="shared" si="67"/>
        <v/>
      </c>
      <c r="Q99" s="96" t="str">
        <f t="shared" si="68"/>
        <v/>
      </c>
      <c r="R99" s="92" t="str">
        <f t="shared" si="69"/>
        <v/>
      </c>
      <c r="S99" s="42" t="str">
        <f t="shared" si="70"/>
        <v/>
      </c>
      <c r="T99" s="167" t="str">
        <f>IF(L99="","",VLOOKUP(L99,classifications!C:K,9,FALSE))</f>
        <v/>
      </c>
      <c r="U99" s="168" t="str">
        <f t="shared" si="71"/>
        <v/>
      </c>
      <c r="V99" s="174" t="str">
        <f>IF(U99="","",IF($I$8="A",(RANK(U99,U$11:U$343)+COUNTIF(U$11:U99,U99)-1),(RANK(U99,U$11:U$343,1)+COUNTIF(U$11:U99,U99)-1)))</f>
        <v/>
      </c>
      <c r="W99" s="175"/>
      <c r="X99" s="5" t="str">
        <f>IF(L99="","",VLOOKUP($L99,classifications!$C:$J,6,FALSE))</f>
        <v/>
      </c>
      <c r="Y99" t="str">
        <f t="shared" si="72"/>
        <v/>
      </c>
      <c r="Z99" s="40" t="str">
        <f>IF(Y99="","",IF(I$8="A",(RANK(Y99,Y$11:Y$343,1)+COUNTIF(Y$11:Y99,Y99)-1),(RANK(Y99,Y$11:Y$343)+COUNTIF(Y$11:Y99,Y99)-1)))</f>
        <v/>
      </c>
      <c r="AA99" s="180" t="str">
        <f>IF(L99="","",VLOOKUP($L99,classifications!C:I,7,FALSE))</f>
        <v/>
      </c>
      <c r="AB99" s="174" t="str">
        <f t="shared" si="73"/>
        <v/>
      </c>
      <c r="AC99" s="174" t="str">
        <f>IF(AB99="","",IF($I$8="A",(RANK(AB99,AB$11:AB$343)+COUNTIF(AB$11:AB99,AB99)-1),(RANK(AB99,AB$11:AB$343,1)+COUNTIF(AB$11:AB99,AB99)-1)))</f>
        <v/>
      </c>
      <c r="AD99" s="174"/>
      <c r="AE99" s="36" t="str">
        <f t="shared" si="74"/>
        <v/>
      </c>
      <c r="AG99" s="15"/>
      <c r="AH99" s="3"/>
      <c r="AI99" s="5" t="str">
        <f>IF(L99="","",VLOOKUP($L99,classifications!$C:$J,8,FALSE))</f>
        <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
      </c>
      <c r="AQ99" s="43" t="str">
        <f t="shared" si="79"/>
        <v/>
      </c>
      <c r="AR99" s="40" t="str">
        <f>IF(AQ99="","",IF(I$8="A",(RANK(AQ99,AQ$11:AQ$343,1)+COUNTIF(AQ$11:AQ99,AQ99)-1),(RANK(AQ99,AQ$11:AQ$343)+COUNTIF(AQ$11:AQ99,AQ99)-1)))</f>
        <v/>
      </c>
      <c r="AS99" s="3" t="str">
        <f t="shared" si="80"/>
        <v/>
      </c>
      <c r="AT99" s="40" t="str">
        <f t="shared" si="81"/>
        <v/>
      </c>
      <c r="AU99" s="43" t="str">
        <f t="shared" si="82"/>
        <v/>
      </c>
      <c r="AX99">
        <f>HLOOKUP($AX$9&amp;$AX$10,Data!$A$1:$ZZ$1980,(MATCH($C99,Data!$A$1:$A$1980,0)),FALSE)</f>
        <v>458.2</v>
      </c>
    </row>
    <row r="100" spans="1:50">
      <c r="A100" s="59" t="str">
        <f>$D$1&amp;90</f>
        <v>UA90</v>
      </c>
      <c r="B100" s="60">
        <f>IF(ISERROR(VLOOKUP(A101,classifications!A:C,3,FALSE)),0,VLOOKUP(A101,classifications!A:C,3,FALSE))</f>
        <v>0</v>
      </c>
      <c r="C100" t="s">
        <v>57</v>
      </c>
      <c r="D100" t="str">
        <f>VLOOKUP($C100,classifications!$C:$J,4,FALSE)</f>
        <v>SD</v>
      </c>
      <c r="E100" t="str">
        <f>VLOOKUP(C100,classifications!C:K,9,FALSE)</f>
        <v>Sparse</v>
      </c>
      <c r="F100">
        <f t="shared" si="60"/>
        <v>450</v>
      </c>
      <c r="G100" s="15"/>
      <c r="H100" s="42" t="str">
        <f t="shared" si="61"/>
        <v/>
      </c>
      <c r="I100" s="79" t="str">
        <f>IF(H100="","",IF($I$8="A",(RANK(H100,H$11:H$343,1)+COUNTIF(H$11:H100,H100)-1),(RANK(H100,H$11:H$343)+COUNTIF(H$11:H100,H100)-1)))</f>
        <v/>
      </c>
      <c r="J100" s="41"/>
      <c r="K100" s="36" t="str">
        <f t="shared" si="62"/>
        <v/>
      </c>
      <c r="L100" t="str">
        <f t="shared" si="63"/>
        <v/>
      </c>
      <c r="M100" s="117" t="str">
        <f t="shared" si="64"/>
        <v/>
      </c>
      <c r="N100" s="112" t="str">
        <f t="shared" si="65"/>
        <v/>
      </c>
      <c r="O100" s="96" t="str">
        <f t="shared" si="66"/>
        <v/>
      </c>
      <c r="P100" s="96" t="str">
        <f t="shared" si="67"/>
        <v/>
      </c>
      <c r="Q100" s="96" t="str">
        <f t="shared" si="68"/>
        <v/>
      </c>
      <c r="R100" s="92" t="str">
        <f t="shared" si="69"/>
        <v/>
      </c>
      <c r="S100" s="42" t="str">
        <f t="shared" si="70"/>
        <v/>
      </c>
      <c r="T100" s="167" t="str">
        <f>IF(L100="","",VLOOKUP(L100,classifications!C:K,9,FALSE))</f>
        <v/>
      </c>
      <c r="U100" s="168" t="str">
        <f t="shared" si="71"/>
        <v/>
      </c>
      <c r="V100" s="174" t="str">
        <f>IF(U100="","",IF($I$8="A",(RANK(U100,U$11:U$343)+COUNTIF(U$11:U100,U100)-1),(RANK(U100,U$11:U$343,1)+COUNTIF(U$11:U100,U100)-1)))</f>
        <v/>
      </c>
      <c r="W100" s="175"/>
      <c r="X100" s="5" t="str">
        <f>IF(L100="","",VLOOKUP($L100,classifications!$C:$J,6,FALSE))</f>
        <v/>
      </c>
      <c r="Y100" t="str">
        <f t="shared" si="72"/>
        <v/>
      </c>
      <c r="Z100" s="40" t="str">
        <f>IF(Y100="","",IF(I$8="A",(RANK(Y100,Y$11:Y$343,1)+COUNTIF(Y$11:Y100,Y100)-1),(RANK(Y100,Y$11:Y$343)+COUNTIF(Y$11:Y100,Y100)-1)))</f>
        <v/>
      </c>
      <c r="AA100" s="180" t="str">
        <f>IF(L100="","",VLOOKUP($L100,classifications!C:I,7,FALSE))</f>
        <v/>
      </c>
      <c r="AB100" s="174" t="str">
        <f t="shared" si="73"/>
        <v/>
      </c>
      <c r="AC100" s="174" t="str">
        <f>IF(AB100="","",IF($I$8="A",(RANK(AB100,AB$11:AB$343)+COUNTIF(AB$11:AB100,AB100)-1),(RANK(AB100,AB$11:AB$343,1)+COUNTIF(AB$11:AB100,AB100)-1)))</f>
        <v/>
      </c>
      <c r="AD100" s="174"/>
      <c r="AE100" s="36" t="str">
        <f t="shared" si="74"/>
        <v/>
      </c>
      <c r="AG100" s="15"/>
      <c r="AH100" s="3"/>
      <c r="AI100" s="5" t="str">
        <f>IF(L100="","",VLOOKUP($L100,classifications!$C:$J,8,FALSE))</f>
        <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
      </c>
      <c r="AQ100" s="43" t="str">
        <f t="shared" si="79"/>
        <v/>
      </c>
      <c r="AR100" s="40" t="str">
        <f>IF(AQ100="","",IF(I$8="A",(RANK(AQ100,AQ$11:AQ$343,1)+COUNTIF(AQ$11:AQ100,AQ100)-1),(RANK(AQ100,AQ$11:AQ$343)+COUNTIF(AQ$11:AQ100,AQ100)-1)))</f>
        <v/>
      </c>
      <c r="AS100" s="3" t="str">
        <f t="shared" si="80"/>
        <v/>
      </c>
      <c r="AT100" s="40" t="str">
        <f t="shared" si="81"/>
        <v/>
      </c>
      <c r="AU100" s="43" t="str">
        <f t="shared" si="82"/>
        <v/>
      </c>
      <c r="AX100">
        <f>HLOOKUP($AX$9&amp;$AX$10,Data!$A$1:$ZZ$1980,(MATCH($C100,Data!$A$1:$A$1980,0)),FALSE)</f>
        <v>450</v>
      </c>
    </row>
    <row r="101" spans="1:50">
      <c r="A101" s="59" t="str">
        <f>$D$1&amp;91</f>
        <v>UA91</v>
      </c>
      <c r="B101" s="60">
        <f>IF(ISERROR(VLOOKUP(A103,classifications!A:C,3,FALSE)),0,VLOOKUP(A103,classifications!A:C,3,FALSE))</f>
        <v>0</v>
      </c>
      <c r="C101" t="s">
        <v>268</v>
      </c>
      <c r="D101" t="str">
        <f>VLOOKUP($C101,classifications!$C:$J,4,FALSE)</f>
        <v>UA</v>
      </c>
      <c r="E101" t="str">
        <f>VLOOKUP(C101,classifications!C:K,9,FALSE)</f>
        <v>Sparse</v>
      </c>
      <c r="F101">
        <f t="shared" si="60"/>
        <v>415.4</v>
      </c>
      <c r="G101" s="15"/>
      <c r="H101" s="42">
        <f t="shared" si="61"/>
        <v>415.4</v>
      </c>
      <c r="I101" s="79">
        <f>IF(H101="","",IF($I$8="A",(RANK(H101,H$11:H$343,1)+COUNTIF(H$11:H101,H101)-1),(RANK(H101,H$11:H$343)+COUNTIF(H$11:H101,H101)-1)))</f>
        <v>10</v>
      </c>
      <c r="J101" s="41"/>
      <c r="K101" s="36" t="str">
        <f t="shared" si="62"/>
        <v/>
      </c>
      <c r="L101" t="str">
        <f t="shared" si="63"/>
        <v/>
      </c>
      <c r="M101" s="117" t="str">
        <f t="shared" si="64"/>
        <v/>
      </c>
      <c r="N101" s="112" t="str">
        <f t="shared" si="65"/>
        <v/>
      </c>
      <c r="O101" s="96" t="str">
        <f t="shared" si="66"/>
        <v/>
      </c>
      <c r="P101" s="96" t="str">
        <f t="shared" si="67"/>
        <v/>
      </c>
      <c r="Q101" s="96" t="str">
        <f t="shared" si="68"/>
        <v/>
      </c>
      <c r="R101" s="92" t="str">
        <f t="shared" si="69"/>
        <v/>
      </c>
      <c r="S101" s="42" t="str">
        <f t="shared" si="70"/>
        <v/>
      </c>
      <c r="T101" s="167" t="str">
        <f>IF(L101="","",VLOOKUP(L101,classifications!C:K,9,FALSE))</f>
        <v/>
      </c>
      <c r="U101" s="168" t="str">
        <f t="shared" si="71"/>
        <v/>
      </c>
      <c r="V101" s="174" t="str">
        <f>IF(U101="","",IF($I$8="A",(RANK(U101,U$11:U$343)+COUNTIF(U$11:U101,U101)-1),(RANK(U101,U$11:U$343,1)+COUNTIF(U$11:U101,U101)-1)))</f>
        <v/>
      </c>
      <c r="W101" s="175"/>
      <c r="X101" s="5" t="str">
        <f>IF(L101="","",VLOOKUP($L101,classifications!$C:$J,6,FALSE))</f>
        <v/>
      </c>
      <c r="Y101" t="str">
        <f t="shared" si="72"/>
        <v/>
      </c>
      <c r="Z101" s="40" t="str">
        <f>IF(Y101="","",IF(I$8="A",(RANK(Y101,Y$11:Y$343,1)+COUNTIF(Y$11:Y101,Y101)-1),(RANK(Y101,Y$11:Y$343)+COUNTIF(Y$11:Y101,Y101)-1)))</f>
        <v/>
      </c>
      <c r="AA101" s="180" t="str">
        <f>IF(L101="","",VLOOKUP($L101,classifications!C:I,7,FALSE))</f>
        <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415.4</v>
      </c>
    </row>
    <row r="102" spans="1:50">
      <c r="A102" s="59" t="str">
        <f>$D$1&amp;92</f>
        <v>UA92</v>
      </c>
      <c r="B102" s="60">
        <f>IF(ISERROR(VLOOKUP(A104,classifications!A:C,3,FALSE)),0,VLOOKUP(A104,classifications!A:C,3,FALSE))</f>
        <v>0</v>
      </c>
      <c r="C102" t="s">
        <v>59</v>
      </c>
      <c r="D102" t="str">
        <f>VLOOKUP($C102,classifications!$C:$J,4,FALSE)</f>
        <v>SD</v>
      </c>
      <c r="E102">
        <f>VLOOKUP(C102,classifications!C:K,9,FALSE)</f>
        <v>0</v>
      </c>
      <c r="F102">
        <f t="shared" si="60"/>
        <v>504.3</v>
      </c>
      <c r="G102" s="15"/>
      <c r="H102" s="42" t="str">
        <f t="shared" si="61"/>
        <v/>
      </c>
      <c r="I102" s="79" t="str">
        <f>IF(H102="","",IF($I$8="A",(RANK(H102,H$11:H$343,1)+COUNTIF(H$11:H102,H102)-1),(RANK(H102,H$11:H$343)+COUNTIF(H$11:H102,H102)-1)))</f>
        <v/>
      </c>
      <c r="J102" s="41"/>
      <c r="K102" s="36" t="str">
        <f t="shared" si="62"/>
        <v/>
      </c>
      <c r="L102" t="str">
        <f t="shared" si="63"/>
        <v/>
      </c>
      <c r="M102" s="117" t="str">
        <f t="shared" si="64"/>
        <v/>
      </c>
      <c r="N102" s="112" t="str">
        <f t="shared" si="65"/>
        <v/>
      </c>
      <c r="O102" s="96" t="str">
        <f t="shared" si="66"/>
        <v/>
      </c>
      <c r="P102" s="96" t="str">
        <f t="shared" si="67"/>
        <v/>
      </c>
      <c r="Q102" s="96" t="str">
        <f t="shared" si="68"/>
        <v/>
      </c>
      <c r="R102" s="92" t="str">
        <f t="shared" si="69"/>
        <v/>
      </c>
      <c r="S102" s="42" t="str">
        <f t="shared" si="70"/>
        <v/>
      </c>
      <c r="T102" s="167" t="str">
        <f>IF(L102="","",VLOOKUP(L102,classifications!C:K,9,FALSE))</f>
        <v/>
      </c>
      <c r="U102" s="168" t="str">
        <f t="shared" si="71"/>
        <v/>
      </c>
      <c r="V102" s="174" t="str">
        <f>IF(U102="","",IF($I$8="A",(RANK(U102,U$11:U$343)+COUNTIF(U$11:U102,U102)-1),(RANK(U102,U$11:U$343,1)+COUNTIF(U$11:U102,U102)-1)))</f>
        <v/>
      </c>
      <c r="W102" s="175"/>
      <c r="X102" s="5" t="str">
        <f>IF(L102="","",VLOOKUP($L102,classifications!$C:$J,6,FALSE))</f>
        <v/>
      </c>
      <c r="Y102" t="str">
        <f t="shared" si="72"/>
        <v/>
      </c>
      <c r="Z102" s="40" t="str">
        <f>IF(Y102="","",IF(I$8="A",(RANK(Y102,Y$11:Y$343,1)+COUNTIF(Y$11:Y102,Y102)-1),(RANK(Y102,Y$11:Y$343)+COUNTIF(Y$11:Y102,Y102)-1)))</f>
        <v/>
      </c>
      <c r="AA102" s="180" t="str">
        <f>IF(L102="","",VLOOKUP($L102,classifications!C:I,7,FALSE))</f>
        <v/>
      </c>
      <c r="AB102" s="174" t="str">
        <f t="shared" si="73"/>
        <v/>
      </c>
      <c r="AC102" s="174" t="str">
        <f>IF(AB102="","",IF($I$8="A",(RANK(AB102,AB$11:AB$343)+COUNTIF(AB$11:AB102,AB102)-1),(RANK(AB102,AB$11:AB$343,1)+COUNTIF(AB$11:AB102,AB102)-1)))</f>
        <v/>
      </c>
      <c r="AD102" s="174"/>
      <c r="AE102" s="36" t="str">
        <f t="shared" si="74"/>
        <v/>
      </c>
      <c r="AG102" s="15"/>
      <c r="AH102" s="3"/>
      <c r="AI102" s="5" t="str">
        <f>IF(L102="","",VLOOKUP($L102,classifications!$C:$J,8,FALSE))</f>
        <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
      </c>
      <c r="AQ102" s="43" t="str">
        <f t="shared" si="79"/>
        <v/>
      </c>
      <c r="AR102" s="40" t="str">
        <f>IF(AQ102="","",IF(I$8="A",(RANK(AQ102,AQ$11:AQ$343,1)+COUNTIF(AQ$11:AQ102,AQ102)-1),(RANK(AQ102,AQ$11:AQ$343)+COUNTIF(AQ$11:AQ102,AQ102)-1)))</f>
        <v/>
      </c>
      <c r="AS102" s="3" t="str">
        <f t="shared" si="80"/>
        <v/>
      </c>
      <c r="AT102" s="40" t="str">
        <f t="shared" si="81"/>
        <v/>
      </c>
      <c r="AU102" s="43" t="str">
        <f t="shared" si="82"/>
        <v/>
      </c>
      <c r="AX102">
        <f>HLOOKUP($AX$9&amp;$AX$10,Data!$A$1:$ZZ$1980,(MATCH($C102,Data!$A$1:$A$1980,0)),FALSE)</f>
        <v>504.3</v>
      </c>
    </row>
    <row r="103" spans="1:50">
      <c r="A103" s="59" t="str">
        <f>$D$1&amp;93</f>
        <v>UA93</v>
      </c>
      <c r="B103" s="60">
        <f>IF(ISERROR(VLOOKUP(A105,classifications!A:C,3,FALSE)),0,VLOOKUP(A105,classifications!A:C,3,FALSE))</f>
        <v>0</v>
      </c>
      <c r="C103" t="s">
        <v>311</v>
      </c>
      <c r="D103" t="str">
        <f>VLOOKUP($C103,classifications!$C:$J,4,FALSE)</f>
        <v>SC</v>
      </c>
      <c r="E103">
        <f>VLOOKUP(C103,classifications!C:K,9,FALSE)</f>
        <v>0</v>
      </c>
      <c r="F103">
        <f t="shared" si="60"/>
        <v>529</v>
      </c>
      <c r="G103" s="15"/>
      <c r="H103" s="42" t="str">
        <f t="shared" si="61"/>
        <v/>
      </c>
      <c r="I103" s="79" t="str">
        <f>IF(H103="","",IF($I$8="A",(RANK(H103,H$11:H$343,1)+COUNTIF(H$11:H103,H103)-1),(RANK(H103,H$11:H$343)+COUNTIF(H$11:H103,H103)-1)))</f>
        <v/>
      </c>
      <c r="J103" s="41"/>
      <c r="K103" s="36" t="str">
        <f t="shared" si="62"/>
        <v/>
      </c>
      <c r="L103" t="str">
        <f t="shared" si="63"/>
        <v/>
      </c>
      <c r="M103" s="117" t="str">
        <f t="shared" si="64"/>
        <v/>
      </c>
      <c r="N103" s="112" t="str">
        <f t="shared" si="65"/>
        <v/>
      </c>
      <c r="O103" s="96" t="str">
        <f t="shared" si="66"/>
        <v/>
      </c>
      <c r="P103" s="96" t="str">
        <f t="shared" si="67"/>
        <v/>
      </c>
      <c r="Q103" s="96" t="str">
        <f t="shared" si="68"/>
        <v/>
      </c>
      <c r="R103" s="92" t="str">
        <f t="shared" si="69"/>
        <v/>
      </c>
      <c r="S103" s="42" t="str">
        <f t="shared" si="70"/>
        <v/>
      </c>
      <c r="T103" s="167" t="str">
        <f>IF(L103="","",VLOOKUP(L103,classifications!C:K,9,FALSE))</f>
        <v/>
      </c>
      <c r="U103" s="168" t="str">
        <f t="shared" si="71"/>
        <v/>
      </c>
      <c r="V103" s="174" t="str">
        <f>IF(U103="","",IF($I$8="A",(RANK(U103,U$11:U$343)+COUNTIF(U$11:U103,U103)-1),(RANK(U103,U$11:U$343,1)+COUNTIF(U$11:U103,U103)-1)))</f>
        <v/>
      </c>
      <c r="W103" s="175"/>
      <c r="X103" s="5" t="str">
        <f>IF(L103="","",VLOOKUP($L103,classifications!$C:$J,6,FALSE))</f>
        <v/>
      </c>
      <c r="Y103" t="str">
        <f t="shared" si="72"/>
        <v/>
      </c>
      <c r="Z103" s="40" t="str">
        <f>IF(Y103="","",IF(I$8="A",(RANK(Y103,Y$11:Y$343,1)+COUNTIF(Y$11:Y103,Y103)-1),(RANK(Y103,Y$11:Y$343)+COUNTIF(Y$11:Y103,Y103)-1)))</f>
        <v/>
      </c>
      <c r="AA103" s="180" t="str">
        <f>IF(L103="","",VLOOKUP($L103,classifications!C:I,7,FALSE))</f>
        <v/>
      </c>
      <c r="AB103" s="174" t="str">
        <f t="shared" si="73"/>
        <v/>
      </c>
      <c r="AC103" s="174" t="str">
        <f>IF(AB103="","",IF($I$8="A",(RANK(AB103,AB$11:AB$343)+COUNTIF(AB$11:AB103,AB103)-1),(RANK(AB103,AB$11:AB$343,1)+COUNTIF(AB$11:AB103,AB103)-1)))</f>
        <v/>
      </c>
      <c r="AD103" s="174"/>
      <c r="AE103" s="36" t="str">
        <f t="shared" si="74"/>
        <v/>
      </c>
      <c r="AG103" s="15"/>
      <c r="AH103" s="3"/>
      <c r="AI103" s="5" t="str">
        <f>IF(L103="","",VLOOKUP($L103,classifications!$C:$J,8,FALSE))</f>
        <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529</v>
      </c>
    </row>
    <row r="104" spans="1:50">
      <c r="A104" s="59" t="str">
        <f>$D$1&amp;94</f>
        <v>UA94</v>
      </c>
      <c r="B104" s="60">
        <f>IF(ISERROR(VLOOKUP(A106,classifications!A:C,3,FALSE)),0,VLOOKUP(A106,classifications!A:C,3,FALSE))</f>
        <v>0</v>
      </c>
      <c r="C104" t="s">
        <v>60</v>
      </c>
      <c r="D104" t="str">
        <f>VLOOKUP($C104,classifications!$C:$J,4,FALSE)</f>
        <v>SD</v>
      </c>
      <c r="E104">
        <f>VLOOKUP(C104,classifications!C:K,9,FALSE)</f>
        <v>0</v>
      </c>
      <c r="F104">
        <f t="shared" si="60"/>
        <v>412.8</v>
      </c>
      <c r="G104" s="15"/>
      <c r="H104" s="42" t="str">
        <f t="shared" si="61"/>
        <v/>
      </c>
      <c r="I104" s="79" t="str">
        <f>IF(H104="","",IF($I$8="A",(RANK(H104,H$11:H$343,1)+COUNTIF(H$11:H104,H104)-1),(RANK(H104,H$11:H$343)+COUNTIF(H$11:H104,H104)-1)))</f>
        <v/>
      </c>
      <c r="J104" s="41"/>
      <c r="K104" s="36" t="str">
        <f t="shared" si="62"/>
        <v/>
      </c>
      <c r="L104" t="str">
        <f t="shared" si="63"/>
        <v/>
      </c>
      <c r="M104" s="117" t="str">
        <f t="shared" si="64"/>
        <v/>
      </c>
      <c r="N104" s="112" t="str">
        <f t="shared" si="65"/>
        <v/>
      </c>
      <c r="O104" s="96" t="str">
        <f t="shared" si="66"/>
        <v/>
      </c>
      <c r="P104" s="96" t="str">
        <f t="shared" si="67"/>
        <v/>
      </c>
      <c r="Q104" s="96" t="str">
        <f t="shared" si="68"/>
        <v/>
      </c>
      <c r="R104" s="92" t="str">
        <f t="shared" si="69"/>
        <v/>
      </c>
      <c r="S104" s="42" t="str">
        <f t="shared" si="70"/>
        <v/>
      </c>
      <c r="T104" s="167" t="str">
        <f>IF(L104="","",VLOOKUP(L104,classifications!C:K,9,FALSE))</f>
        <v/>
      </c>
      <c r="U104" s="168" t="str">
        <f t="shared" si="71"/>
        <v/>
      </c>
      <c r="V104" s="174" t="str">
        <f>IF(U104="","",IF($I$8="A",(RANK(U104,U$11:U$343)+COUNTIF(U$11:U104,U104)-1),(RANK(U104,U$11:U$343,1)+COUNTIF(U$11:U104,U104)-1)))</f>
        <v/>
      </c>
      <c r="W104" s="175"/>
      <c r="X104" s="5" t="str">
        <f>IF(L104="","",VLOOKUP($L104,classifications!$C:$J,6,FALSE))</f>
        <v/>
      </c>
      <c r="Y104" t="str">
        <f t="shared" si="72"/>
        <v/>
      </c>
      <c r="Z104" s="40" t="str">
        <f>IF(Y104="","",IF(I$8="A",(RANK(Y104,Y$11:Y$343,1)+COUNTIF(Y$11:Y104,Y104)-1),(RANK(Y104,Y$11:Y$343)+COUNTIF(Y$11:Y104,Y104)-1)))</f>
        <v/>
      </c>
      <c r="AA104" s="180" t="str">
        <f>IF(L104="","",VLOOKUP($L104,classifications!C:I,7,FALSE))</f>
        <v/>
      </c>
      <c r="AB104" s="174" t="str">
        <f t="shared" si="73"/>
        <v/>
      </c>
      <c r="AC104" s="174" t="str">
        <f>IF(AB104="","",IF($I$8="A",(RANK(AB104,AB$11:AB$343)+COUNTIF(AB$11:AB104,AB104)-1),(RANK(AB104,AB$11:AB$343,1)+COUNTIF(AB$11:AB104,AB104)-1)))</f>
        <v/>
      </c>
      <c r="AD104" s="174"/>
      <c r="AE104" s="36" t="str">
        <f t="shared" si="74"/>
        <v/>
      </c>
      <c r="AG104" s="15"/>
      <c r="AH104" s="3"/>
      <c r="AI104" s="5" t="str">
        <f>IF(L104="","",VLOOKUP($L104,classifications!$C:$J,8,FALSE))</f>
        <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
      </c>
      <c r="AQ104" s="43" t="str">
        <f t="shared" si="79"/>
        <v/>
      </c>
      <c r="AR104" s="40" t="str">
        <f>IF(AQ104="","",IF(I$8="A",(RANK(AQ104,AQ$11:AQ$343,1)+COUNTIF(AQ$11:AQ104,AQ104)-1),(RANK(AQ104,AQ$11:AQ$343)+COUNTIF(AQ$11:AQ104,AQ104)-1)))</f>
        <v/>
      </c>
      <c r="AS104" s="3" t="str">
        <f t="shared" si="80"/>
        <v/>
      </c>
      <c r="AT104" s="40" t="str">
        <f t="shared" si="81"/>
        <v/>
      </c>
      <c r="AU104" s="43" t="str">
        <f t="shared" si="82"/>
        <v/>
      </c>
      <c r="AX104">
        <f>HLOOKUP($AX$9&amp;$AX$10,Data!$A$1:$ZZ$1980,(MATCH($C104,Data!$A$1:$A$1980,0)),FALSE)</f>
        <v>412.8</v>
      </c>
    </row>
    <row r="105" spans="1:50">
      <c r="A105" s="59" t="str">
        <f>$D$1&amp;95</f>
        <v>UA95</v>
      </c>
      <c r="B105" s="60">
        <f>IF(ISERROR(VLOOKUP(A107,classifications!A:C,3,FALSE)),0,VLOOKUP(A107,classifications!A:C,3,FALSE))</f>
        <v>0</v>
      </c>
      <c r="C105" t="s">
        <v>61</v>
      </c>
      <c r="D105" t="str">
        <f>VLOOKUP($C105,classifications!$C:$J,4,FALSE)</f>
        <v>SD</v>
      </c>
      <c r="E105">
        <f>VLOOKUP(C105,classifications!C:K,9,FALSE)</f>
        <v>0</v>
      </c>
      <c r="F105">
        <f t="shared" si="60"/>
        <v>431.9</v>
      </c>
      <c r="G105" s="15"/>
      <c r="H105" s="42" t="str">
        <f t="shared" si="61"/>
        <v/>
      </c>
      <c r="I105" s="79" t="str">
        <f>IF(H105="","",IF($I$8="A",(RANK(H105,H$11:H$343,1)+COUNTIF(H$11:H105,H105)-1),(RANK(H105,H$11:H$343)+COUNTIF(H$11:H105,H105)-1)))</f>
        <v/>
      </c>
      <c r="J105" s="41"/>
      <c r="K105" s="36" t="str">
        <f t="shared" si="62"/>
        <v/>
      </c>
      <c r="L105" t="str">
        <f t="shared" si="63"/>
        <v/>
      </c>
      <c r="M105" s="117" t="str">
        <f t="shared" si="64"/>
        <v/>
      </c>
      <c r="N105" s="112" t="str">
        <f t="shared" si="65"/>
        <v/>
      </c>
      <c r="O105" s="96" t="str">
        <f t="shared" si="66"/>
        <v/>
      </c>
      <c r="P105" s="96" t="str">
        <f t="shared" si="67"/>
        <v/>
      </c>
      <c r="Q105" s="96" t="str">
        <f t="shared" si="68"/>
        <v/>
      </c>
      <c r="R105" s="92" t="str">
        <f t="shared" si="69"/>
        <v/>
      </c>
      <c r="S105" s="42" t="str">
        <f t="shared" si="70"/>
        <v/>
      </c>
      <c r="T105" s="167" t="str">
        <f>IF(L105="","",VLOOKUP(L105,classifications!C:K,9,FALSE))</f>
        <v/>
      </c>
      <c r="U105" s="168" t="str">
        <f t="shared" si="71"/>
        <v/>
      </c>
      <c r="V105" s="174" t="str">
        <f>IF(U105="","",IF($I$8="A",(RANK(U105,U$11:U$343)+COUNTIF(U$11:U105,U105)-1),(RANK(U105,U$11:U$343,1)+COUNTIF(U$11:U105,U105)-1)))</f>
        <v/>
      </c>
      <c r="W105" s="175"/>
      <c r="X105" s="5" t="str">
        <f>IF(L105="","",VLOOKUP($L105,classifications!$C:$J,6,FALSE))</f>
        <v/>
      </c>
      <c r="Y105" t="str">
        <f t="shared" si="72"/>
        <v/>
      </c>
      <c r="Z105" s="40" t="str">
        <f>IF(Y105="","",IF(I$8="A",(RANK(Y105,Y$11:Y$343,1)+COUNTIF(Y$11:Y105,Y105)-1),(RANK(Y105,Y$11:Y$343)+COUNTIF(Y$11:Y105,Y105)-1)))</f>
        <v/>
      </c>
      <c r="AA105" s="180" t="str">
        <f>IF(L105="","",VLOOKUP($L105,classifications!C:I,7,FALSE))</f>
        <v/>
      </c>
      <c r="AB105" s="174" t="str">
        <f t="shared" si="73"/>
        <v/>
      </c>
      <c r="AC105" s="174" t="str">
        <f>IF(AB105="","",IF($I$8="A",(RANK(AB105,AB$11:AB$343)+COUNTIF(AB$11:AB105,AB105)-1),(RANK(AB105,AB$11:AB$343,1)+COUNTIF(AB$11:AB105,AB105)-1)))</f>
        <v/>
      </c>
      <c r="AD105" s="174"/>
      <c r="AE105" s="36" t="str">
        <f t="shared" si="74"/>
        <v/>
      </c>
      <c r="AG105" s="15"/>
      <c r="AH105" s="3"/>
      <c r="AI105" s="5" t="str">
        <f>IF(L105="","",VLOOKUP($L105,classifications!$C:$J,8,FALSE))</f>
        <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
      </c>
      <c r="AQ105" s="43" t="str">
        <f t="shared" si="79"/>
        <v/>
      </c>
      <c r="AR105" s="40" t="str">
        <f>IF(AQ105="","",IF(I$8="A",(RANK(AQ105,AQ$11:AQ$343,1)+COUNTIF(AQ$11:AQ105,AQ105)-1),(RANK(AQ105,AQ$11:AQ$343)+COUNTIF(AQ$11:AQ105,AQ105)-1)))</f>
        <v/>
      </c>
      <c r="AS105" s="3" t="str">
        <f t="shared" si="80"/>
        <v/>
      </c>
      <c r="AT105" s="40" t="str">
        <f t="shared" si="81"/>
        <v/>
      </c>
      <c r="AU105" s="43" t="str">
        <f t="shared" si="82"/>
        <v/>
      </c>
      <c r="AX105">
        <f>HLOOKUP($AX$9&amp;$AX$10,Data!$A$1:$ZZ$1980,(MATCH($C105,Data!$A$1:$A$1980,0)),FALSE)</f>
        <v>431.9</v>
      </c>
    </row>
    <row r="106" spans="1:50">
      <c r="A106" s="59" t="str">
        <f>$D$1&amp;96</f>
        <v>UA96</v>
      </c>
      <c r="B106" s="60">
        <f>IF(ISERROR(VLOOKUP(A108,classifications!A:C,3,FALSE)),0,VLOOKUP(A108,classifications!A:C,3,FALSE))</f>
        <v>0</v>
      </c>
      <c r="C106" t="s">
        <v>62</v>
      </c>
      <c r="D106" t="str">
        <f>VLOOKUP($C106,classifications!$C:$J,4,FALSE)</f>
        <v>SD</v>
      </c>
      <c r="E106" t="str">
        <f>VLOOKUP(C106,classifications!C:K,9,FALSE)</f>
        <v>Sparse</v>
      </c>
      <c r="F106">
        <f t="shared" si="60"/>
        <v>421.5</v>
      </c>
      <c r="G106" s="15"/>
      <c r="H106" s="42" t="str">
        <f t="shared" si="61"/>
        <v/>
      </c>
      <c r="I106" s="79" t="str">
        <f>IF(H106="","",IF($I$8="A",(RANK(H106,H$11:H$343,1)+COUNTIF(H$11:H106,H106)-1),(RANK(H106,H$11:H$343)+COUNTIF(H$11:H106,H106)-1)))</f>
        <v/>
      </c>
      <c r="J106" s="41"/>
      <c r="K106" s="36" t="str">
        <f t="shared" si="62"/>
        <v/>
      </c>
      <c r="L106" t="str">
        <f t="shared" si="63"/>
        <v/>
      </c>
      <c r="M106" s="117" t="str">
        <f t="shared" si="64"/>
        <v/>
      </c>
      <c r="N106" s="112" t="str">
        <f t="shared" si="65"/>
        <v/>
      </c>
      <c r="O106" s="96" t="str">
        <f t="shared" si="66"/>
        <v/>
      </c>
      <c r="P106" s="96" t="str">
        <f t="shared" si="67"/>
        <v/>
      </c>
      <c r="Q106" s="96" t="str">
        <f t="shared" si="68"/>
        <v/>
      </c>
      <c r="R106" s="92" t="str">
        <f t="shared" si="69"/>
        <v/>
      </c>
      <c r="S106" s="42" t="str">
        <f t="shared" si="70"/>
        <v/>
      </c>
      <c r="T106" s="167" t="str">
        <f>IF(L106="","",VLOOKUP(L106,classifications!C:K,9,FALSE))</f>
        <v/>
      </c>
      <c r="U106" s="168" t="str">
        <f t="shared" si="71"/>
        <v/>
      </c>
      <c r="V106" s="174" t="str">
        <f>IF(U106="","",IF($I$8="A",(RANK(U106,U$11:U$343)+COUNTIF(U$11:U106,U106)-1),(RANK(U106,U$11:U$343,1)+COUNTIF(U$11:U106,U106)-1)))</f>
        <v/>
      </c>
      <c r="W106" s="175"/>
      <c r="X106" s="5" t="str">
        <f>IF(L106="","",VLOOKUP($L106,classifications!$C:$J,6,FALSE))</f>
        <v/>
      </c>
      <c r="Y106" t="str">
        <f t="shared" si="72"/>
        <v/>
      </c>
      <c r="Z106" s="40" t="str">
        <f>IF(Y106="","",IF(I$8="A",(RANK(Y106,Y$11:Y$343,1)+COUNTIF(Y$11:Y106,Y106)-1),(RANK(Y106,Y$11:Y$343)+COUNTIF(Y$11:Y106,Y106)-1)))</f>
        <v/>
      </c>
      <c r="AA106" s="180" t="str">
        <f>IF(L106="","",VLOOKUP($L106,classifications!C:I,7,FALSE))</f>
        <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
      </c>
      <c r="AQ106" s="43" t="str">
        <f t="shared" si="79"/>
        <v/>
      </c>
      <c r="AR106" s="40" t="str">
        <f>IF(AQ106="","",IF(I$8="A",(RANK(AQ106,AQ$11:AQ$343,1)+COUNTIF(AQ$11:AQ106,AQ106)-1),(RANK(AQ106,AQ$11:AQ$343)+COUNTIF(AQ$11:AQ106,AQ106)-1)))</f>
        <v/>
      </c>
      <c r="AS106" s="3" t="str">
        <f t="shared" si="80"/>
        <v/>
      </c>
      <c r="AT106" s="40" t="str">
        <f t="shared" si="81"/>
        <v/>
      </c>
      <c r="AU106" s="43" t="str">
        <f t="shared" si="82"/>
        <v/>
      </c>
      <c r="AX106">
        <f>HLOOKUP($AX$9&amp;$AX$10,Data!$A$1:$ZZ$1980,(MATCH($C106,Data!$A$1:$A$1980,0)),FALSE)</f>
        <v>421.5</v>
      </c>
    </row>
    <row r="107" spans="1:50">
      <c r="A107" s="59" t="str">
        <f>$D$1&amp;97</f>
        <v>UA97</v>
      </c>
      <c r="B107" s="60">
        <f>IF(ISERROR(VLOOKUP(A109,classifications!A:C,3,FALSE)),0,VLOOKUP(A109,classifications!A:C,3,FALSE))</f>
        <v>0</v>
      </c>
      <c r="C107" t="s">
        <v>63</v>
      </c>
      <c r="D107" t="str">
        <f>VLOOKUP($C107,classifications!$C:$J,4,FALSE)</f>
        <v>SD</v>
      </c>
      <c r="E107">
        <f>VLOOKUP(C107,classifications!C:K,9,FALSE)</f>
        <v>0</v>
      </c>
      <c r="F107">
        <f t="shared" si="60"/>
        <v>410.2</v>
      </c>
      <c r="G107" s="15"/>
      <c r="H107" s="42" t="str">
        <f t="shared" si="61"/>
        <v/>
      </c>
      <c r="I107" s="79" t="str">
        <f>IF(H107="","",IF($I$8="A",(RANK(H107,H$11:H$343,1)+COUNTIF(H$11:H107,H107)-1),(RANK(H107,H$11:H$343)+COUNTIF(H$11:H107,H107)-1)))</f>
        <v/>
      </c>
      <c r="J107" s="41"/>
      <c r="K107" s="36" t="str">
        <f t="shared" si="62"/>
        <v/>
      </c>
      <c r="L107" t="str">
        <f t="shared" si="63"/>
        <v/>
      </c>
      <c r="M107" s="117" t="str">
        <f t="shared" si="64"/>
        <v/>
      </c>
      <c r="N107" s="112" t="str">
        <f t="shared" si="65"/>
        <v/>
      </c>
      <c r="O107" s="96" t="str">
        <f t="shared" si="66"/>
        <v/>
      </c>
      <c r="P107" s="96" t="str">
        <f t="shared" si="67"/>
        <v/>
      </c>
      <c r="Q107" s="96" t="str">
        <f t="shared" si="68"/>
        <v/>
      </c>
      <c r="R107" s="92" t="str">
        <f t="shared" si="69"/>
        <v/>
      </c>
      <c r="S107" s="42" t="str">
        <f t="shared" si="70"/>
        <v/>
      </c>
      <c r="T107" s="167" t="str">
        <f>IF(L107="","",VLOOKUP(L107,classifications!C:K,9,FALSE))</f>
        <v/>
      </c>
      <c r="U107" s="168" t="str">
        <f t="shared" si="71"/>
        <v/>
      </c>
      <c r="V107" s="174" t="str">
        <f>IF(U107="","",IF($I$8="A",(RANK(U107,U$11:U$343)+COUNTIF(U$11:U107,U107)-1),(RANK(U107,U$11:U$343,1)+COUNTIF(U$11:U107,U107)-1)))</f>
        <v/>
      </c>
      <c r="W107" s="175"/>
      <c r="X107" s="5" t="str">
        <f>IF(L107="","",VLOOKUP($L107,classifications!$C:$J,6,FALSE))</f>
        <v/>
      </c>
      <c r="Y107" t="str">
        <f t="shared" si="72"/>
        <v/>
      </c>
      <c r="Z107" s="40" t="str">
        <f>IF(Y107="","",IF(I$8="A",(RANK(Y107,Y$11:Y$343,1)+COUNTIF(Y$11:Y107,Y107)-1),(RANK(Y107,Y$11:Y$343)+COUNTIF(Y$11:Y107,Y107)-1)))</f>
        <v/>
      </c>
      <c r="AA107" s="180" t="str">
        <f>IF(L107="","",VLOOKUP($L107,classifications!C:I,7,FALSE))</f>
        <v/>
      </c>
      <c r="AB107" s="174" t="str">
        <f t="shared" si="73"/>
        <v/>
      </c>
      <c r="AC107" s="174" t="str">
        <f>IF(AB107="","",IF($I$8="A",(RANK(AB107,AB$11:AB$343)+COUNTIF(AB$11:AB107,AB107)-1),(RANK(AB107,AB$11:AB$343,1)+COUNTIF(AB$11:AB107,AB107)-1)))</f>
        <v/>
      </c>
      <c r="AD107" s="174"/>
      <c r="AE107" s="36" t="str">
        <f t="shared" si="74"/>
        <v/>
      </c>
      <c r="AG107" s="15"/>
      <c r="AH107" s="3"/>
      <c r="AI107" s="5" t="str">
        <f>IF(L107="","",VLOOKUP($L107,classifications!$C:$J,8,FALSE))</f>
        <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
      </c>
      <c r="AQ107" s="43" t="str">
        <f t="shared" si="79"/>
        <v/>
      </c>
      <c r="AR107" s="40" t="str">
        <f>IF(AQ107="","",IF(I$8="A",(RANK(AQ107,AQ$11:AQ$343,1)+COUNTIF(AQ$11:AQ107,AQ107)-1),(RANK(AQ107,AQ$11:AQ$343)+COUNTIF(AQ$11:AQ107,AQ107)-1)))</f>
        <v/>
      </c>
      <c r="AS107" s="3" t="str">
        <f t="shared" si="80"/>
        <v/>
      </c>
      <c r="AT107" s="40" t="str">
        <f t="shared" si="81"/>
        <v/>
      </c>
      <c r="AU107" s="43" t="str">
        <f t="shared" si="82"/>
        <v/>
      </c>
      <c r="AX107">
        <f>HLOOKUP($AX$9&amp;$AX$10,Data!$A$1:$ZZ$1980,(MATCH($C107,Data!$A$1:$A$1980,0)),FALSE)</f>
        <v>410.2</v>
      </c>
    </row>
    <row r="108" spans="1:50">
      <c r="A108" s="59" t="str">
        <f>$D$1&amp;98</f>
        <v>UA98</v>
      </c>
      <c r="B108" s="60">
        <f>IF(ISERROR(VLOOKUP(A110,classifications!A:C,3,FALSE)),0,VLOOKUP(A110,classifications!A:C,3,FALSE))</f>
        <v>0</v>
      </c>
      <c r="C108" t="s">
        <v>204</v>
      </c>
      <c r="D108" t="str">
        <f>VLOOKUP($C108,classifications!$C:$J,4,FALSE)</f>
        <v>L</v>
      </c>
      <c r="E108">
        <f>VLOOKUP(C108,classifications!C:K,9,FALSE)</f>
        <v>0</v>
      </c>
      <c r="F108">
        <f t="shared" si="60"/>
        <v>530.20000000000005</v>
      </c>
      <c r="G108" s="15"/>
      <c r="H108" s="42" t="str">
        <f t="shared" si="61"/>
        <v/>
      </c>
      <c r="I108" s="79" t="str">
        <f>IF(H108="","",IF($I$8="A",(RANK(H108,H$11:H$343,1)+COUNTIF(H$11:H108,H108)-1),(RANK(H108,H$11:H$343)+COUNTIF(H$11:H108,H108)-1)))</f>
        <v/>
      </c>
      <c r="J108" s="41"/>
      <c r="K108" s="36" t="str">
        <f t="shared" si="62"/>
        <v/>
      </c>
      <c r="L108" t="str">
        <f t="shared" si="63"/>
        <v/>
      </c>
      <c r="M108" s="117" t="str">
        <f t="shared" si="64"/>
        <v/>
      </c>
      <c r="N108" s="112" t="str">
        <f t="shared" si="65"/>
        <v/>
      </c>
      <c r="O108" s="96" t="str">
        <f t="shared" si="66"/>
        <v/>
      </c>
      <c r="P108" s="96" t="str">
        <f t="shared" si="67"/>
        <v/>
      </c>
      <c r="Q108" s="96" t="str">
        <f t="shared" si="68"/>
        <v/>
      </c>
      <c r="R108" s="92" t="str">
        <f t="shared" si="69"/>
        <v/>
      </c>
      <c r="S108" s="42" t="str">
        <f t="shared" si="70"/>
        <v/>
      </c>
      <c r="T108" s="167" t="str">
        <f>IF(L108="","",VLOOKUP(L108,classifications!C:K,9,FALSE))</f>
        <v/>
      </c>
      <c r="U108" s="168" t="str">
        <f t="shared" si="71"/>
        <v/>
      </c>
      <c r="V108" s="174" t="str">
        <f>IF(U108="","",IF($I$8="A",(RANK(U108,U$11:U$343)+COUNTIF(U$11:U108,U108)-1),(RANK(U108,U$11:U$343,1)+COUNTIF(U$11:U108,U108)-1)))</f>
        <v/>
      </c>
      <c r="W108" s="175"/>
      <c r="X108" s="5" t="str">
        <f>IF(L108="","",VLOOKUP($L108,classifications!$C:$J,6,FALSE))</f>
        <v/>
      </c>
      <c r="Y108" t="str">
        <f t="shared" si="72"/>
        <v/>
      </c>
      <c r="Z108" s="40" t="str">
        <f>IF(Y108="","",IF(I$8="A",(RANK(Y108,Y$11:Y$343,1)+COUNTIF(Y$11:Y108,Y108)-1),(RANK(Y108,Y$11:Y$343)+COUNTIF(Y$11:Y108,Y108)-1)))</f>
        <v/>
      </c>
      <c r="AA108" s="180" t="str">
        <f>IF(L108="","",VLOOKUP($L108,classifications!C:I,7,FALSE))</f>
        <v/>
      </c>
      <c r="AB108" s="174" t="str">
        <f t="shared" si="73"/>
        <v/>
      </c>
      <c r="AC108" s="174" t="str">
        <f>IF(AB108="","",IF($I$8="A",(RANK(AB108,AB$11:AB$343)+COUNTIF(AB$11:AB108,AB108)-1),(RANK(AB108,AB$11:AB$343,1)+COUNTIF(AB$11:AB108,AB108)-1)))</f>
        <v/>
      </c>
      <c r="AD108" s="174"/>
      <c r="AE108" s="36" t="str">
        <f t="shared" si="74"/>
        <v/>
      </c>
      <c r="AG108" s="15"/>
      <c r="AH108" s="3"/>
      <c r="AI108" s="5" t="str">
        <f>IF(L108="","",VLOOKUP($L108,classifications!$C:$J,8,FALSE))</f>
        <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
      </c>
      <c r="AQ108" s="43" t="str">
        <f t="shared" si="79"/>
        <v/>
      </c>
      <c r="AR108" s="40" t="str">
        <f>IF(AQ108="","",IF(I$8="A",(RANK(AQ108,AQ$11:AQ$343,1)+COUNTIF(AQ$11:AQ108,AQ108)-1),(RANK(AQ108,AQ$11:AQ$343)+COUNTIF(AQ$11:AQ108,AQ108)-1)))</f>
        <v/>
      </c>
      <c r="AS108" s="3" t="str">
        <f t="shared" si="80"/>
        <v/>
      </c>
      <c r="AT108" s="40" t="str">
        <f t="shared" si="81"/>
        <v/>
      </c>
      <c r="AU108" s="43" t="str">
        <f t="shared" si="82"/>
        <v/>
      </c>
      <c r="AX108">
        <f>HLOOKUP($AX$9&amp;$AX$10,Data!$A$1:$ZZ$1980,(MATCH($C108,Data!$A$1:$A$1980,0)),FALSE)</f>
        <v>530.20000000000005</v>
      </c>
    </row>
    <row r="109" spans="1:50">
      <c r="A109" s="59" t="str">
        <f>$D$1&amp;99</f>
        <v>UA99</v>
      </c>
      <c r="B109" s="60">
        <f>IF(ISERROR(VLOOKUP(A111,classifications!A:C,3,FALSE)),0,VLOOKUP(A111,classifications!A:C,3,FALSE))</f>
        <v>0</v>
      </c>
      <c r="C109" t="s">
        <v>64</v>
      </c>
      <c r="D109" t="str">
        <f>VLOOKUP($C109,classifications!$C:$J,4,FALSE)</f>
        <v>SD</v>
      </c>
      <c r="E109">
        <f>VLOOKUP(C109,classifications!C:K,9,FALSE)</f>
        <v>0</v>
      </c>
      <c r="F109">
        <f t="shared" si="60"/>
        <v>432</v>
      </c>
      <c r="G109" s="15"/>
      <c r="H109" s="42" t="str">
        <f t="shared" si="61"/>
        <v/>
      </c>
      <c r="I109" s="79" t="str">
        <f>IF(H109="","",IF($I$8="A",(RANK(H109,H$11:H$343,1)+COUNTIF(H$11:H109,H109)-1),(RANK(H109,H$11:H$343)+COUNTIF(H$11:H109,H109)-1)))</f>
        <v/>
      </c>
      <c r="J109" s="41"/>
      <c r="K109" s="36" t="str">
        <f t="shared" si="62"/>
        <v/>
      </c>
      <c r="L109" t="str">
        <f t="shared" si="63"/>
        <v/>
      </c>
      <c r="M109" s="117" t="str">
        <f t="shared" si="64"/>
        <v/>
      </c>
      <c r="N109" s="112" t="str">
        <f t="shared" si="65"/>
        <v/>
      </c>
      <c r="O109" s="96" t="str">
        <f t="shared" si="66"/>
        <v/>
      </c>
      <c r="P109" s="96" t="str">
        <f t="shared" si="67"/>
        <v/>
      </c>
      <c r="Q109" s="96" t="str">
        <f t="shared" si="68"/>
        <v/>
      </c>
      <c r="R109" s="92" t="str">
        <f t="shared" si="69"/>
        <v/>
      </c>
      <c r="S109" s="42" t="str">
        <f t="shared" si="70"/>
        <v/>
      </c>
      <c r="T109" s="167" t="str">
        <f>IF(L109="","",VLOOKUP(L109,classifications!C:K,9,FALSE))</f>
        <v/>
      </c>
      <c r="U109" s="168" t="str">
        <f t="shared" si="71"/>
        <v/>
      </c>
      <c r="V109" s="174" t="str">
        <f>IF(U109="","",IF($I$8="A",(RANK(U109,U$11:U$343)+COUNTIF(U$11:U109,U109)-1),(RANK(U109,U$11:U$343,1)+COUNTIF(U$11:U109,U109)-1)))</f>
        <v/>
      </c>
      <c r="W109" s="175"/>
      <c r="X109" s="5" t="str">
        <f>IF(L109="","",VLOOKUP($L109,classifications!$C:$J,6,FALSE))</f>
        <v/>
      </c>
      <c r="Y109" t="str">
        <f t="shared" si="72"/>
        <v/>
      </c>
      <c r="Z109" s="40" t="str">
        <f>IF(Y109="","",IF(I$8="A",(RANK(Y109,Y$11:Y$343,1)+COUNTIF(Y$11:Y109,Y109)-1),(RANK(Y109,Y$11:Y$343)+COUNTIF(Y$11:Y109,Y109)-1)))</f>
        <v/>
      </c>
      <c r="AA109" s="180" t="str">
        <f>IF(L109="","",VLOOKUP($L109,classifications!C:I,7,FALSE))</f>
        <v/>
      </c>
      <c r="AB109" s="174" t="str">
        <f t="shared" si="73"/>
        <v/>
      </c>
      <c r="AC109" s="174" t="str">
        <f>IF(AB109="","",IF($I$8="A",(RANK(AB109,AB$11:AB$343)+COUNTIF(AB$11:AB109,AB109)-1),(RANK(AB109,AB$11:AB$343,1)+COUNTIF(AB$11:AB109,AB109)-1)))</f>
        <v/>
      </c>
      <c r="AD109" s="174"/>
      <c r="AE109" s="36" t="str">
        <f t="shared" si="74"/>
        <v/>
      </c>
      <c r="AG109" s="15"/>
      <c r="AH109" s="3"/>
      <c r="AI109" s="5" t="str">
        <f>IF(L109="","",VLOOKUP($L109,classifications!$C:$J,8,FALSE))</f>
        <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
      </c>
      <c r="AQ109" s="43" t="str">
        <f t="shared" si="79"/>
        <v/>
      </c>
      <c r="AR109" s="40" t="str">
        <f>IF(AQ109="","",IF(I$8="A",(RANK(AQ109,AQ$11:AQ$343,1)+COUNTIF(AQ$11:AQ109,AQ109)-1),(RANK(AQ109,AQ$11:AQ$343)+COUNTIF(AQ$11:AQ109,AQ109)-1)))</f>
        <v/>
      </c>
      <c r="AS109" s="3" t="str">
        <f t="shared" si="80"/>
        <v/>
      </c>
      <c r="AT109" s="40" t="str">
        <f t="shared" si="81"/>
        <v/>
      </c>
      <c r="AU109" s="43" t="str">
        <f t="shared" si="82"/>
        <v/>
      </c>
      <c r="AX109">
        <f>HLOOKUP($AX$9&amp;$AX$10,Data!$A$1:$ZZ$1980,(MATCH($C109,Data!$A$1:$A$1980,0)),FALSE)</f>
        <v>432</v>
      </c>
    </row>
    <row r="110" spans="1:50">
      <c r="A110" s="59" t="str">
        <f>$D$1&amp;100</f>
        <v>UA100</v>
      </c>
      <c r="B110" s="60">
        <f>IF(ISERROR(VLOOKUP(A112,classifications!A:C,3,FALSE)),0,VLOOKUP(A112,classifications!A:C,3,FALSE))</f>
        <v>0</v>
      </c>
      <c r="C110" t="s">
        <v>345</v>
      </c>
      <c r="D110" t="str">
        <f>VLOOKUP($C110,classifications!$C:$J,4,FALSE)</f>
        <v>SD</v>
      </c>
      <c r="E110">
        <f>VLOOKUP(C110,classifications!C:K,9,FALSE)</f>
        <v>0</v>
      </c>
      <c r="F110">
        <f t="shared" si="60"/>
        <v>398.5</v>
      </c>
      <c r="G110" s="15"/>
      <c r="H110" s="42" t="str">
        <f t="shared" si="61"/>
        <v/>
      </c>
      <c r="I110" s="79" t="str">
        <f>IF(H110="","",IF($I$8="A",(RANK(H110,H$11:H$343,1)+COUNTIF(H$11:H110,H110)-1),(RANK(H110,H$11:H$343)+COUNTIF(H$11:H110,H110)-1)))</f>
        <v/>
      </c>
      <c r="J110" s="41"/>
      <c r="K110" s="36" t="str">
        <f t="shared" si="62"/>
        <v/>
      </c>
      <c r="L110" t="str">
        <f t="shared" si="63"/>
        <v/>
      </c>
      <c r="M110" s="117" t="str">
        <f t="shared" si="64"/>
        <v/>
      </c>
      <c r="N110" s="112" t="str">
        <f t="shared" si="65"/>
        <v/>
      </c>
      <c r="O110" s="96" t="str">
        <f t="shared" si="66"/>
        <v/>
      </c>
      <c r="P110" s="96" t="str">
        <f t="shared" si="67"/>
        <v/>
      </c>
      <c r="Q110" s="96" t="str">
        <f t="shared" si="68"/>
        <v/>
      </c>
      <c r="R110" s="92" t="str">
        <f t="shared" si="69"/>
        <v/>
      </c>
      <c r="S110" s="42" t="str">
        <f t="shared" si="70"/>
        <v/>
      </c>
      <c r="T110" s="167" t="str">
        <f>IF(L110="","",VLOOKUP(L110,classifications!C:K,9,FALSE))</f>
        <v/>
      </c>
      <c r="U110" s="168" t="str">
        <f t="shared" si="71"/>
        <v/>
      </c>
      <c r="V110" s="174" t="str">
        <f>IF(U110="","",IF($I$8="A",(RANK(U110,U$11:U$343)+COUNTIF(U$11:U110,U110)-1),(RANK(U110,U$11:U$343,1)+COUNTIF(U$11:U110,U110)-1)))</f>
        <v/>
      </c>
      <c r="W110" s="175"/>
      <c r="X110" s="5" t="str">
        <f>IF(L110="","",VLOOKUP($L110,classifications!$C:$J,6,FALSE))</f>
        <v/>
      </c>
      <c r="Y110" t="str">
        <f t="shared" si="72"/>
        <v/>
      </c>
      <c r="Z110" s="40" t="str">
        <f>IF(Y110="","",IF(I$8="A",(RANK(Y110,Y$11:Y$343,1)+COUNTIF(Y$11:Y110,Y110)-1),(RANK(Y110,Y$11:Y$343)+COUNTIF(Y$11:Y110,Y110)-1)))</f>
        <v/>
      </c>
      <c r="AA110" s="180" t="str">
        <f>IF(L110="","",VLOOKUP($L110,classifications!C:I,7,FALSE))</f>
        <v/>
      </c>
      <c r="AB110" s="174" t="str">
        <f t="shared" si="73"/>
        <v/>
      </c>
      <c r="AC110" s="174" t="str">
        <f>IF(AB110="","",IF($I$8="A",(RANK(AB110,AB$11:AB$343)+COUNTIF(AB$11:AB110,AB110)-1),(RANK(AB110,AB$11:AB$343,1)+COUNTIF(AB$11:AB110,AB110)-1)))</f>
        <v/>
      </c>
      <c r="AD110" s="174"/>
      <c r="AE110" s="36" t="str">
        <f t="shared" si="74"/>
        <v/>
      </c>
      <c r="AG110" s="15"/>
      <c r="AH110" s="3"/>
      <c r="AI110" s="5" t="str">
        <f>IF(L110="","",VLOOKUP($L110,classifications!$C:$J,8,FALSE))</f>
        <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
      </c>
      <c r="AQ110" s="43" t="str">
        <f t="shared" si="79"/>
        <v/>
      </c>
      <c r="AR110" s="40" t="str">
        <f>IF(AQ110="","",IF(I$8="A",(RANK(AQ110,AQ$11:AQ$343,1)+COUNTIF(AQ$11:AQ110,AQ110)-1),(RANK(AQ110,AQ$11:AQ$343)+COUNTIF(AQ$11:AQ110,AQ110)-1)))</f>
        <v/>
      </c>
      <c r="AS110" s="3" t="str">
        <f t="shared" si="80"/>
        <v/>
      </c>
      <c r="AT110" s="40" t="str">
        <f t="shared" si="81"/>
        <v/>
      </c>
      <c r="AU110" s="43" t="str">
        <f t="shared" si="82"/>
        <v/>
      </c>
      <c r="AX110">
        <f>HLOOKUP($AX$9&amp;$AX$10,Data!$A$1:$ZZ$1980,(MATCH($C110,Data!$A$1:$A$1980,0)),FALSE)</f>
        <v>398.5</v>
      </c>
    </row>
    <row r="111" spans="1:50">
      <c r="A111" s="59" t="str">
        <f>$D$1&amp;101</f>
        <v>UA101</v>
      </c>
      <c r="B111" s="60">
        <f>IF(ISERROR(VLOOKUP(A113,classifications!A:C,3,FALSE)),0,VLOOKUP(A113,classifications!A:C,3,FALSE))</f>
        <v>0</v>
      </c>
      <c r="C111" t="s">
        <v>65</v>
      </c>
      <c r="D111" t="str">
        <f>VLOOKUP($C111,classifications!$C:$J,4,FALSE)</f>
        <v>SD</v>
      </c>
      <c r="E111">
        <f>VLOOKUP(C111,classifications!C:K,9,FALSE)</f>
        <v>0</v>
      </c>
      <c r="F111">
        <f t="shared" si="60"/>
        <v>483</v>
      </c>
      <c r="G111" s="15"/>
      <c r="H111" s="42" t="str">
        <f t="shared" si="61"/>
        <v/>
      </c>
      <c r="I111" s="79" t="str">
        <f>IF(H111="","",IF($I$8="A",(RANK(H111,H$11:H$343,1)+COUNTIF(H$11:H111,H111)-1),(RANK(H111,H$11:H$343)+COUNTIF(H$11:H111,H111)-1)))</f>
        <v/>
      </c>
      <c r="J111" s="41"/>
      <c r="K111" s="36" t="str">
        <f t="shared" si="62"/>
        <v/>
      </c>
      <c r="L111" t="str">
        <f t="shared" si="63"/>
        <v/>
      </c>
      <c r="M111" s="117" t="str">
        <f t="shared" si="64"/>
        <v/>
      </c>
      <c r="N111" s="112" t="str">
        <f t="shared" si="65"/>
        <v/>
      </c>
      <c r="O111" s="96" t="str">
        <f t="shared" si="66"/>
        <v/>
      </c>
      <c r="P111" s="96" t="str">
        <f t="shared" si="67"/>
        <v/>
      </c>
      <c r="Q111" s="96" t="str">
        <f t="shared" si="68"/>
        <v/>
      </c>
      <c r="R111" s="92" t="str">
        <f t="shared" si="69"/>
        <v/>
      </c>
      <c r="S111" s="42" t="str">
        <f t="shared" si="70"/>
        <v/>
      </c>
      <c r="T111" s="167" t="str">
        <f>IF(L111="","",VLOOKUP(L111,classifications!C:K,9,FALSE))</f>
        <v/>
      </c>
      <c r="U111" s="168" t="str">
        <f t="shared" si="71"/>
        <v/>
      </c>
      <c r="V111" s="174" t="str">
        <f>IF(U111="","",IF($I$8="A",(RANK(U111,U$11:U$343)+COUNTIF(U$11:U111,U111)-1),(RANK(U111,U$11:U$343,1)+COUNTIF(U$11:U111,U111)-1)))</f>
        <v/>
      </c>
      <c r="W111" s="175"/>
      <c r="X111" s="5" t="str">
        <f>IF(L111="","",VLOOKUP($L111,classifications!$C:$J,6,FALSE))</f>
        <v/>
      </c>
      <c r="Y111" t="str">
        <f t="shared" si="72"/>
        <v/>
      </c>
      <c r="Z111" s="40" t="str">
        <f>IF(Y111="","",IF(I$8="A",(RANK(Y111,Y$11:Y$343,1)+COUNTIF(Y$11:Y111,Y111)-1),(RANK(Y111,Y$11:Y$343)+COUNTIF(Y$11:Y111,Y111)-1)))</f>
        <v/>
      </c>
      <c r="AA111" s="180" t="str">
        <f>IF(L111="","",VLOOKUP($L111,classifications!C:I,7,FALSE))</f>
        <v/>
      </c>
      <c r="AB111" s="174" t="str">
        <f t="shared" si="73"/>
        <v/>
      </c>
      <c r="AC111" s="174" t="str">
        <f>IF(AB111="","",IF($I$8="A",(RANK(AB111,AB$11:AB$343)+COUNTIF(AB$11:AB111,AB111)-1),(RANK(AB111,AB$11:AB$343,1)+COUNTIF(AB$11:AB111,AB111)-1)))</f>
        <v/>
      </c>
      <c r="AD111" s="174"/>
      <c r="AE111" s="36" t="str">
        <f t="shared" si="74"/>
        <v/>
      </c>
      <c r="AG111" s="15"/>
      <c r="AH111" s="3"/>
      <c r="AI111" s="5" t="str">
        <f>IF(L111="","",VLOOKUP($L111,classifications!$C:$J,8,FALSE))</f>
        <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
      </c>
      <c r="AQ111" s="43" t="str">
        <f t="shared" si="79"/>
        <v/>
      </c>
      <c r="AR111" s="40" t="str">
        <f>IF(AQ111="","",IF(I$8="A",(RANK(AQ111,AQ$11:AQ$343,1)+COUNTIF(AQ$11:AQ111,AQ111)-1),(RANK(AQ111,AQ$11:AQ$343)+COUNTIF(AQ$11:AQ111,AQ111)-1)))</f>
        <v/>
      </c>
      <c r="AS111" s="3" t="str">
        <f t="shared" si="80"/>
        <v/>
      </c>
      <c r="AT111" s="40" t="str">
        <f t="shared" si="81"/>
        <v/>
      </c>
      <c r="AU111" s="43" t="str">
        <f t="shared" si="82"/>
        <v/>
      </c>
      <c r="AX111">
        <f>HLOOKUP($AX$9&amp;$AX$10,Data!$A$1:$ZZ$1980,(MATCH($C111,Data!$A$1:$A$1980,0)),FALSE)</f>
        <v>483</v>
      </c>
    </row>
    <row r="112" spans="1:50">
      <c r="A112" s="59" t="str">
        <f>$D$1&amp;102</f>
        <v>UA102</v>
      </c>
      <c r="B112" s="60">
        <f>IF(ISERROR(VLOOKUP(A114,classifications!A:C,3,FALSE)),0,VLOOKUP(A114,classifications!A:C,3,FALSE))</f>
        <v>0</v>
      </c>
      <c r="C112" t="s">
        <v>312</v>
      </c>
      <c r="D112" t="str">
        <f>VLOOKUP($C112,classifications!$C:$J,4,FALSE)</f>
        <v>SC</v>
      </c>
      <c r="E112">
        <f>VLOOKUP(C112,classifications!C:K,9,FALSE)</f>
        <v>0</v>
      </c>
      <c r="F112">
        <f t="shared" si="60"/>
        <v>483.6</v>
      </c>
      <c r="G112" s="15"/>
      <c r="H112" s="42" t="str">
        <f t="shared" si="61"/>
        <v/>
      </c>
      <c r="I112" s="79" t="str">
        <f>IF(H112="","",IF($I$8="A",(RANK(H112,H$11:H$343,1)+COUNTIF(H$11:H112,H112)-1),(RANK(H112,H$11:H$343)+COUNTIF(H$11:H112,H112)-1)))</f>
        <v/>
      </c>
      <c r="J112" s="41"/>
      <c r="K112" s="36" t="str">
        <f t="shared" si="62"/>
        <v/>
      </c>
      <c r="L112" t="str">
        <f t="shared" si="63"/>
        <v/>
      </c>
      <c r="M112" s="117" t="str">
        <f t="shared" si="64"/>
        <v/>
      </c>
      <c r="N112" s="112" t="str">
        <f t="shared" si="65"/>
        <v/>
      </c>
      <c r="O112" s="96" t="str">
        <f t="shared" si="66"/>
        <v/>
      </c>
      <c r="P112" s="96" t="str">
        <f t="shared" si="67"/>
        <v/>
      </c>
      <c r="Q112" s="96" t="str">
        <f t="shared" si="68"/>
        <v/>
      </c>
      <c r="R112" s="92" t="str">
        <f t="shared" si="69"/>
        <v/>
      </c>
      <c r="S112" s="42" t="str">
        <f t="shared" si="70"/>
        <v/>
      </c>
      <c r="T112" s="167" t="str">
        <f>IF(L112="","",VLOOKUP(L112,classifications!C:K,9,FALSE))</f>
        <v/>
      </c>
      <c r="U112" s="168" t="str">
        <f t="shared" si="71"/>
        <v/>
      </c>
      <c r="V112" s="174" t="str">
        <f>IF(U112="","",IF($I$8="A",(RANK(U112,U$11:U$343)+COUNTIF(U$11:U112,U112)-1),(RANK(U112,U$11:U$343,1)+COUNTIF(U$11:U112,U112)-1)))</f>
        <v/>
      </c>
      <c r="W112" s="175"/>
      <c r="X112" s="5" t="str">
        <f>IF(L112="","",VLOOKUP($L112,classifications!$C:$J,6,FALSE))</f>
        <v/>
      </c>
      <c r="Y112" t="str">
        <f t="shared" si="72"/>
        <v/>
      </c>
      <c r="Z112" s="40" t="str">
        <f>IF(Y112="","",IF(I$8="A",(RANK(Y112,Y$11:Y$343,1)+COUNTIF(Y$11:Y112,Y112)-1),(RANK(Y112,Y$11:Y$343)+COUNTIF(Y$11:Y112,Y112)-1)))</f>
        <v/>
      </c>
      <c r="AA112" s="180" t="str">
        <f>IF(L112="","",VLOOKUP($L112,classifications!C:I,7,FALSE))</f>
        <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483.6</v>
      </c>
    </row>
    <row r="113" spans="1:50">
      <c r="A113" s="59" t="str">
        <f>$D$1&amp;103</f>
        <v>UA103</v>
      </c>
      <c r="B113" s="60">
        <f>IF(ISERROR(VLOOKUP(A115,classifications!A:C,3,FALSE)),0,VLOOKUP(A115,classifications!A:C,3,FALSE))</f>
        <v>0</v>
      </c>
      <c r="C113" t="s">
        <v>66</v>
      </c>
      <c r="D113" t="str">
        <f>VLOOKUP($C113,classifications!$C:$J,4,FALSE)</f>
        <v>SD</v>
      </c>
      <c r="E113">
        <f>VLOOKUP(C113,classifications!C:K,9,FALSE)</f>
        <v>0</v>
      </c>
      <c r="F113">
        <f t="shared" si="60"/>
        <v>450.9</v>
      </c>
      <c r="G113" s="15"/>
      <c r="H113" s="42" t="str">
        <f t="shared" si="61"/>
        <v/>
      </c>
      <c r="I113" s="79" t="str">
        <f>IF(H113="","",IF($I$8="A",(RANK(H113,H$11:H$343,1)+COUNTIF(H$11:H113,H113)-1),(RANK(H113,H$11:H$343)+COUNTIF(H$11:H113,H113)-1)))</f>
        <v/>
      </c>
      <c r="J113" s="41"/>
      <c r="K113" s="36" t="str">
        <f t="shared" si="62"/>
        <v/>
      </c>
      <c r="L113" t="str">
        <f t="shared" si="63"/>
        <v/>
      </c>
      <c r="M113" s="117" t="str">
        <f t="shared" si="64"/>
        <v/>
      </c>
      <c r="N113" s="112" t="str">
        <f t="shared" si="65"/>
        <v/>
      </c>
      <c r="O113" s="96" t="str">
        <f t="shared" si="66"/>
        <v/>
      </c>
      <c r="P113" s="96" t="str">
        <f t="shared" si="67"/>
        <v/>
      </c>
      <c r="Q113" s="96" t="str">
        <f t="shared" si="68"/>
        <v/>
      </c>
      <c r="R113" s="92" t="str">
        <f t="shared" si="69"/>
        <v/>
      </c>
      <c r="S113" s="42" t="str">
        <f t="shared" si="70"/>
        <v/>
      </c>
      <c r="T113" s="167" t="str">
        <f>IF(L113="","",VLOOKUP(L113,classifications!C:K,9,FALSE))</f>
        <v/>
      </c>
      <c r="U113" s="168" t="str">
        <f t="shared" si="71"/>
        <v/>
      </c>
      <c r="V113" s="174" t="str">
        <f>IF(U113="","",IF($I$8="A",(RANK(U113,U$11:U$343)+COUNTIF(U$11:U113,U113)-1),(RANK(U113,U$11:U$343,1)+COUNTIF(U$11:U113,U113)-1)))</f>
        <v/>
      </c>
      <c r="W113" s="175"/>
      <c r="X113" s="5" t="str">
        <f>IF(L113="","",VLOOKUP($L113,classifications!$C:$J,6,FALSE))</f>
        <v/>
      </c>
      <c r="Y113" t="str">
        <f t="shared" si="72"/>
        <v/>
      </c>
      <c r="Z113" s="40" t="str">
        <f>IF(Y113="","",IF(I$8="A",(RANK(Y113,Y$11:Y$343,1)+COUNTIF(Y$11:Y113,Y113)-1),(RANK(Y113,Y$11:Y$343)+COUNTIF(Y$11:Y113,Y113)-1)))</f>
        <v/>
      </c>
      <c r="AA113" s="180" t="str">
        <f>IF(L113="","",VLOOKUP($L113,classifications!C:I,7,FALSE))</f>
        <v/>
      </c>
      <c r="AB113" s="174" t="str">
        <f t="shared" si="73"/>
        <v/>
      </c>
      <c r="AC113" s="174" t="str">
        <f>IF(AB113="","",IF($I$8="A",(RANK(AB113,AB$11:AB$343)+COUNTIF(AB$11:AB113,AB113)-1),(RANK(AB113,AB$11:AB$343,1)+COUNTIF(AB$11:AB113,AB113)-1)))</f>
        <v/>
      </c>
      <c r="AD113" s="174"/>
      <c r="AE113" s="36" t="str">
        <f t="shared" si="74"/>
        <v/>
      </c>
      <c r="AG113" s="15"/>
      <c r="AH113" s="3"/>
      <c r="AI113" s="5" t="str">
        <f>IF(L113="","",VLOOKUP($L113,classifications!$C:$J,8,FALSE))</f>
        <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
      </c>
      <c r="AQ113" s="43" t="str">
        <f t="shared" si="79"/>
        <v/>
      </c>
      <c r="AR113" s="40" t="str">
        <f>IF(AQ113="","",IF(I$8="A",(RANK(AQ113,AQ$11:AQ$343,1)+COUNTIF(AQ$11:AQ113,AQ113)-1),(RANK(AQ113,AQ$11:AQ$343)+COUNTIF(AQ$11:AQ113,AQ113)-1)))</f>
        <v/>
      </c>
      <c r="AS113" s="3" t="str">
        <f t="shared" si="80"/>
        <v/>
      </c>
      <c r="AT113" s="40" t="str">
        <f t="shared" si="81"/>
        <v/>
      </c>
      <c r="AU113" s="43" t="str">
        <f t="shared" si="82"/>
        <v/>
      </c>
      <c r="AX113">
        <f>HLOOKUP($AX$9&amp;$AX$10,Data!$A$1:$ZZ$1980,(MATCH($C113,Data!$A$1:$A$1980,0)),FALSE)</f>
        <v>450.9</v>
      </c>
    </row>
    <row r="114" spans="1:50">
      <c r="A114" s="59" t="str">
        <f>$D$1&amp;104</f>
        <v>UA104</v>
      </c>
      <c r="B114" s="60">
        <f>IF(ISERROR(VLOOKUP(A116,classifications!A:C,3,FALSE)),0,VLOOKUP(A116,classifications!A:C,3,FALSE))</f>
        <v>0</v>
      </c>
      <c r="C114" t="s">
        <v>67</v>
      </c>
      <c r="D114" t="str">
        <f>VLOOKUP($C114,classifications!$C:$J,4,FALSE)</f>
        <v>SD</v>
      </c>
      <c r="E114">
        <f>VLOOKUP(C114,classifications!C:K,9,FALSE)</f>
        <v>0</v>
      </c>
      <c r="F114">
        <f t="shared" si="60"/>
        <v>447.3</v>
      </c>
      <c r="G114" s="15"/>
      <c r="H114" s="42" t="str">
        <f t="shared" si="61"/>
        <v/>
      </c>
      <c r="I114" s="79" t="str">
        <f>IF(H114="","",IF($I$8="A",(RANK(H114,H$11:H$343,1)+COUNTIF(H$11:H114,H114)-1),(RANK(H114,H$11:H$343)+COUNTIF(H$11:H114,H114)-1)))</f>
        <v/>
      </c>
      <c r="J114" s="41"/>
      <c r="K114" s="36" t="str">
        <f t="shared" si="62"/>
        <v/>
      </c>
      <c r="L114" t="str">
        <f t="shared" si="63"/>
        <v/>
      </c>
      <c r="M114" s="117" t="str">
        <f t="shared" si="64"/>
        <v/>
      </c>
      <c r="N114" s="112" t="str">
        <f t="shared" si="65"/>
        <v/>
      </c>
      <c r="O114" s="96" t="str">
        <f t="shared" si="66"/>
        <v/>
      </c>
      <c r="P114" s="96" t="str">
        <f t="shared" si="67"/>
        <v/>
      </c>
      <c r="Q114" s="96" t="str">
        <f t="shared" si="68"/>
        <v/>
      </c>
      <c r="R114" s="92" t="str">
        <f t="shared" si="69"/>
        <v/>
      </c>
      <c r="S114" s="42" t="str">
        <f t="shared" si="70"/>
        <v/>
      </c>
      <c r="T114" s="167" t="str">
        <f>IF(L114="","",VLOOKUP(L114,classifications!C:K,9,FALSE))</f>
        <v/>
      </c>
      <c r="U114" s="168" t="str">
        <f t="shared" si="71"/>
        <v/>
      </c>
      <c r="V114" s="174" t="str">
        <f>IF(U114="","",IF($I$8="A",(RANK(U114,U$11:U$343)+COUNTIF(U$11:U114,U114)-1),(RANK(U114,U$11:U$343,1)+COUNTIF(U$11:U114,U114)-1)))</f>
        <v/>
      </c>
      <c r="W114" s="175"/>
      <c r="X114" s="5" t="str">
        <f>IF(L114="","",VLOOKUP($L114,classifications!$C:$J,6,FALSE))</f>
        <v/>
      </c>
      <c r="Y114" t="str">
        <f t="shared" si="72"/>
        <v/>
      </c>
      <c r="Z114" s="40" t="str">
        <f>IF(Y114="","",IF(I$8="A",(RANK(Y114,Y$11:Y$343,1)+COUNTIF(Y$11:Y114,Y114)-1),(RANK(Y114,Y$11:Y$343)+COUNTIF(Y$11:Y114,Y114)-1)))</f>
        <v/>
      </c>
      <c r="AA114" s="180" t="str">
        <f>IF(L114="","",VLOOKUP($L114,classifications!C:I,7,FALSE))</f>
        <v/>
      </c>
      <c r="AB114" s="174" t="str">
        <f t="shared" si="73"/>
        <v/>
      </c>
      <c r="AC114" s="174" t="str">
        <f>IF(AB114="","",IF($I$8="A",(RANK(AB114,AB$11:AB$343)+COUNTIF(AB$11:AB114,AB114)-1),(RANK(AB114,AB$11:AB$343,1)+COUNTIF(AB$11:AB114,AB114)-1)))</f>
        <v/>
      </c>
      <c r="AD114" s="174"/>
      <c r="AE114" s="36" t="str">
        <f t="shared" si="74"/>
        <v/>
      </c>
      <c r="AG114" s="15"/>
      <c r="AH114" s="3"/>
      <c r="AI114" s="5" t="str">
        <f>IF(L114="","",VLOOKUP($L114,classifications!$C:$J,8,FALSE))</f>
        <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
      </c>
      <c r="AQ114" s="43" t="str">
        <f t="shared" si="79"/>
        <v/>
      </c>
      <c r="AR114" s="40" t="str">
        <f>IF(AQ114="","",IF(I$8="A",(RANK(AQ114,AQ$11:AQ$343,1)+COUNTIF(AQ$11:AQ114,AQ114)-1),(RANK(AQ114,AQ$11:AQ$343)+COUNTIF(AQ$11:AQ114,AQ114)-1)))</f>
        <v/>
      </c>
      <c r="AS114" s="3" t="str">
        <f t="shared" si="80"/>
        <v/>
      </c>
      <c r="AT114" s="40" t="str">
        <f t="shared" si="81"/>
        <v/>
      </c>
      <c r="AU114" s="43" t="str">
        <f t="shared" si="82"/>
        <v/>
      </c>
      <c r="AX114">
        <f>HLOOKUP($AX$9&amp;$AX$10,Data!$A$1:$ZZ$1980,(MATCH($C114,Data!$A$1:$A$1980,0)),FALSE)</f>
        <v>447.3</v>
      </c>
    </row>
    <row r="115" spans="1:50">
      <c r="A115" s="59" t="str">
        <f>$D$1&amp;105</f>
        <v>UA105</v>
      </c>
      <c r="B115" s="60">
        <f>IF(ISERROR(VLOOKUP(A117,classifications!A:C,3,FALSE)),0,VLOOKUP(A117,classifications!A:C,3,FALSE))</f>
        <v>0</v>
      </c>
      <c r="C115" t="s">
        <v>68</v>
      </c>
      <c r="D115" t="str">
        <f>VLOOKUP($C115,classifications!$C:$J,4,FALSE)</f>
        <v>SD</v>
      </c>
      <c r="E115">
        <f>VLOOKUP(C115,classifications!C:K,9,FALSE)</f>
        <v>0</v>
      </c>
      <c r="F115">
        <f t="shared" si="60"/>
        <v>551.4</v>
      </c>
      <c r="G115" s="15"/>
      <c r="H115" s="42" t="str">
        <f t="shared" si="61"/>
        <v/>
      </c>
      <c r="I115" s="79" t="str">
        <f>IF(H115="","",IF($I$8="A",(RANK(H115,H$11:H$343,1)+COUNTIF(H$11:H115,H115)-1),(RANK(H115,H$11:H$343)+COUNTIF(H$11:H115,H115)-1)))</f>
        <v/>
      </c>
      <c r="J115" s="41"/>
      <c r="K115" s="36" t="str">
        <f t="shared" si="62"/>
        <v/>
      </c>
      <c r="L115" t="str">
        <f t="shared" si="63"/>
        <v/>
      </c>
      <c r="M115" s="117" t="str">
        <f t="shared" si="64"/>
        <v/>
      </c>
      <c r="N115" s="112" t="str">
        <f t="shared" si="65"/>
        <v/>
      </c>
      <c r="O115" s="96" t="str">
        <f t="shared" si="66"/>
        <v/>
      </c>
      <c r="P115" s="96" t="str">
        <f t="shared" si="67"/>
        <v/>
      </c>
      <c r="Q115" s="96" t="str">
        <f t="shared" si="68"/>
        <v/>
      </c>
      <c r="R115" s="92" t="str">
        <f t="shared" si="69"/>
        <v/>
      </c>
      <c r="S115" s="42" t="str">
        <f t="shared" si="70"/>
        <v/>
      </c>
      <c r="T115" s="167" t="str">
        <f>IF(L115="","",VLOOKUP(L115,classifications!C:K,9,FALSE))</f>
        <v/>
      </c>
      <c r="U115" s="168" t="str">
        <f t="shared" si="71"/>
        <v/>
      </c>
      <c r="V115" s="174" t="str">
        <f>IF(U115="","",IF($I$8="A",(RANK(U115,U$11:U$343)+COUNTIF(U$11:U115,U115)-1),(RANK(U115,U$11:U$343,1)+COUNTIF(U$11:U115,U115)-1)))</f>
        <v/>
      </c>
      <c r="W115" s="175"/>
      <c r="X115" s="5" t="str">
        <f>IF(L115="","",VLOOKUP($L115,classifications!$C:$J,6,FALSE))</f>
        <v/>
      </c>
      <c r="Y115" t="str">
        <f t="shared" si="72"/>
        <v/>
      </c>
      <c r="Z115" s="40" t="str">
        <f>IF(Y115="","",IF(I$8="A",(RANK(Y115,Y$11:Y$343,1)+COUNTIF(Y$11:Y115,Y115)-1),(RANK(Y115,Y$11:Y$343)+COUNTIF(Y$11:Y115,Y115)-1)))</f>
        <v/>
      </c>
      <c r="AA115" s="180" t="str">
        <f>IF(L115="","",VLOOKUP($L115,classifications!C:I,7,FALSE))</f>
        <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
      </c>
      <c r="AQ115" s="43" t="str">
        <f t="shared" si="79"/>
        <v/>
      </c>
      <c r="AR115" s="40" t="str">
        <f>IF(AQ115="","",IF(I$8="A",(RANK(AQ115,AQ$11:AQ$343,1)+COUNTIF(AQ$11:AQ115,AQ115)-1),(RANK(AQ115,AQ$11:AQ$343)+COUNTIF(AQ$11:AQ115,AQ115)-1)))</f>
        <v/>
      </c>
      <c r="AS115" s="3" t="str">
        <f t="shared" si="80"/>
        <v/>
      </c>
      <c r="AT115" s="40" t="str">
        <f t="shared" si="81"/>
        <v/>
      </c>
      <c r="AU115" s="43" t="str">
        <f t="shared" si="82"/>
        <v/>
      </c>
      <c r="AX115">
        <f>HLOOKUP($AX$9&amp;$AX$10,Data!$A$1:$ZZ$1980,(MATCH($C115,Data!$A$1:$A$1980,0)),FALSE)</f>
        <v>551.4</v>
      </c>
    </row>
    <row r="116" spans="1:50">
      <c r="A116" s="59" t="str">
        <f>$D$1&amp;106</f>
        <v>UA106</v>
      </c>
      <c r="B116" s="60">
        <f>IF(ISERROR(VLOOKUP(A118,classifications!A:C,3,FALSE)),0,VLOOKUP(A118,classifications!A:C,3,FALSE))</f>
        <v>0</v>
      </c>
      <c r="C116" t="s">
        <v>70</v>
      </c>
      <c r="D116" t="str">
        <f>VLOOKUP($C116,classifications!$C:$J,4,FALSE)</f>
        <v>SD</v>
      </c>
      <c r="E116" t="str">
        <f>VLOOKUP(C116,classifications!C:K,9,FALSE)</f>
        <v>Sparse</v>
      </c>
      <c r="F116">
        <f t="shared" si="60"/>
        <v>395.6</v>
      </c>
      <c r="G116" s="15"/>
      <c r="H116" s="42" t="str">
        <f t="shared" si="61"/>
        <v/>
      </c>
      <c r="I116" s="79" t="str">
        <f>IF(H116="","",IF($I$8="A",(RANK(H116,H$11:H$343,1)+COUNTIF(H$11:H116,H116)-1),(RANK(H116,H$11:H$343)+COUNTIF(H$11:H116,H116)-1)))</f>
        <v/>
      </c>
      <c r="J116" s="41"/>
      <c r="K116" s="36" t="str">
        <f t="shared" si="62"/>
        <v/>
      </c>
      <c r="L116" t="str">
        <f t="shared" si="63"/>
        <v/>
      </c>
      <c r="M116" s="117" t="str">
        <f t="shared" si="64"/>
        <v/>
      </c>
      <c r="N116" s="112" t="str">
        <f t="shared" si="65"/>
        <v/>
      </c>
      <c r="O116" s="96" t="str">
        <f t="shared" si="66"/>
        <v/>
      </c>
      <c r="P116" s="96" t="str">
        <f t="shared" si="67"/>
        <v/>
      </c>
      <c r="Q116" s="96" t="str">
        <f t="shared" si="68"/>
        <v/>
      </c>
      <c r="R116" s="92" t="str">
        <f t="shared" si="69"/>
        <v/>
      </c>
      <c r="S116" s="42" t="str">
        <f t="shared" si="70"/>
        <v/>
      </c>
      <c r="T116" s="167" t="str">
        <f>IF(L116="","",VLOOKUP(L116,classifications!C:K,9,FALSE))</f>
        <v/>
      </c>
      <c r="U116" s="168" t="str">
        <f t="shared" si="71"/>
        <v/>
      </c>
      <c r="V116" s="174" t="str">
        <f>IF(U116="","",IF($I$8="A",(RANK(U116,U$11:U$343)+COUNTIF(U$11:U116,U116)-1),(RANK(U116,U$11:U$343,1)+COUNTIF(U$11:U116,U116)-1)))</f>
        <v/>
      </c>
      <c r="W116" s="175"/>
      <c r="X116" s="5" t="str">
        <f>IF(L116="","",VLOOKUP($L116,classifications!$C:$J,6,FALSE))</f>
        <v/>
      </c>
      <c r="Y116" t="str">
        <f t="shared" si="72"/>
        <v/>
      </c>
      <c r="Z116" s="40" t="str">
        <f>IF(Y116="","",IF(I$8="A",(RANK(Y116,Y$11:Y$343,1)+COUNTIF(Y$11:Y116,Y116)-1),(RANK(Y116,Y$11:Y$343)+COUNTIF(Y$11:Y116,Y116)-1)))</f>
        <v/>
      </c>
      <c r="AA116" s="180" t="str">
        <f>IF(L116="","",VLOOKUP($L116,classifications!C:I,7,FALSE))</f>
        <v/>
      </c>
      <c r="AB116" s="174" t="str">
        <f t="shared" si="73"/>
        <v/>
      </c>
      <c r="AC116" s="174" t="str">
        <f>IF(AB116="","",IF($I$8="A",(RANK(AB116,AB$11:AB$343)+COUNTIF(AB$11:AB116,AB116)-1),(RANK(AB116,AB$11:AB$343,1)+COUNTIF(AB$11:AB116,AB116)-1)))</f>
        <v/>
      </c>
      <c r="AD116" s="174"/>
      <c r="AE116" s="36" t="str">
        <f t="shared" si="74"/>
        <v/>
      </c>
      <c r="AG116" s="15"/>
      <c r="AH116" s="3"/>
      <c r="AI116" s="5" t="str">
        <f>IF(L116="","",VLOOKUP($L116,classifications!$C:$J,8,FALSE))</f>
        <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
      </c>
      <c r="AQ116" s="43" t="str">
        <f t="shared" si="79"/>
        <v/>
      </c>
      <c r="AR116" s="40" t="str">
        <f>IF(AQ116="","",IF(I$8="A",(RANK(AQ116,AQ$11:AQ$343,1)+COUNTIF(AQ$11:AQ116,AQ116)-1),(RANK(AQ116,AQ$11:AQ$343)+COUNTIF(AQ$11:AQ116,AQ116)-1)))</f>
        <v/>
      </c>
      <c r="AS116" s="3" t="str">
        <f t="shared" si="80"/>
        <v/>
      </c>
      <c r="AT116" s="40" t="str">
        <f t="shared" si="81"/>
        <v/>
      </c>
      <c r="AU116" s="43" t="str">
        <f t="shared" si="82"/>
        <v/>
      </c>
      <c r="AX116">
        <f>HLOOKUP($AX$9&amp;$AX$10,Data!$A$1:$ZZ$1980,(MATCH($C116,Data!$A$1:$A$1980,0)),FALSE)</f>
        <v>395.6</v>
      </c>
    </row>
    <row r="117" spans="1:50">
      <c r="A117" s="59" t="str">
        <f>$D$1&amp;107</f>
        <v>UA107</v>
      </c>
      <c r="B117" s="60">
        <f>IF(ISERROR(VLOOKUP(A119,classifications!A:C,3,FALSE)),0,VLOOKUP(A119,classifications!A:C,3,FALSE))</f>
        <v>0</v>
      </c>
      <c r="C117" t="s">
        <v>71</v>
      </c>
      <c r="D117" t="str">
        <f>VLOOKUP($C117,classifications!$C:$J,4,FALSE)</f>
        <v>SD</v>
      </c>
      <c r="E117">
        <f>VLOOKUP(C117,classifications!C:K,9,FALSE)</f>
        <v>0</v>
      </c>
      <c r="F117">
        <f t="shared" si="60"/>
        <v>460</v>
      </c>
      <c r="G117" s="15"/>
      <c r="H117" s="42" t="str">
        <f t="shared" si="61"/>
        <v/>
      </c>
      <c r="I117" s="79" t="str">
        <f>IF(H117="","",IF($I$8="A",(RANK(H117,H$11:H$343,1)+COUNTIF(H$11:H117,H117)-1),(RANK(H117,H$11:H$343)+COUNTIF(H$11:H117,H117)-1)))</f>
        <v/>
      </c>
      <c r="J117" s="41"/>
      <c r="K117" s="36" t="str">
        <f t="shared" si="62"/>
        <v/>
      </c>
      <c r="L117" t="str">
        <f t="shared" si="63"/>
        <v/>
      </c>
      <c r="M117" s="117" t="str">
        <f t="shared" si="64"/>
        <v/>
      </c>
      <c r="N117" s="112" t="str">
        <f t="shared" si="65"/>
        <v/>
      </c>
      <c r="O117" s="96" t="str">
        <f t="shared" si="66"/>
        <v/>
      </c>
      <c r="P117" s="96" t="str">
        <f t="shared" si="67"/>
        <v/>
      </c>
      <c r="Q117" s="96" t="str">
        <f t="shared" si="68"/>
        <v/>
      </c>
      <c r="R117" s="92" t="str">
        <f t="shared" si="69"/>
        <v/>
      </c>
      <c r="S117" s="42" t="str">
        <f t="shared" si="70"/>
        <v/>
      </c>
      <c r="T117" s="167" t="str">
        <f>IF(L117="","",VLOOKUP(L117,classifications!C:K,9,FALSE))</f>
        <v/>
      </c>
      <c r="U117" s="168" t="str">
        <f t="shared" si="71"/>
        <v/>
      </c>
      <c r="V117" s="174" t="str">
        <f>IF(U117="","",IF($I$8="A",(RANK(U117,U$11:U$343)+COUNTIF(U$11:U117,U117)-1),(RANK(U117,U$11:U$343,1)+COUNTIF(U$11:U117,U117)-1)))</f>
        <v/>
      </c>
      <c r="W117" s="175"/>
      <c r="X117" s="5" t="str">
        <f>IF(L117="","",VLOOKUP($L117,classifications!$C:$J,6,FALSE))</f>
        <v/>
      </c>
      <c r="Y117" t="str">
        <f t="shared" si="72"/>
        <v/>
      </c>
      <c r="Z117" s="40" t="str">
        <f>IF(Y117="","",IF(I$8="A",(RANK(Y117,Y$11:Y$343,1)+COUNTIF(Y$11:Y117,Y117)-1),(RANK(Y117,Y$11:Y$343)+COUNTIF(Y$11:Y117,Y117)-1)))</f>
        <v/>
      </c>
      <c r="AA117" s="180" t="str">
        <f>IF(L117="","",VLOOKUP($L117,classifications!C:I,7,FALSE))</f>
        <v/>
      </c>
      <c r="AB117" s="174" t="str">
        <f t="shared" si="73"/>
        <v/>
      </c>
      <c r="AC117" s="174" t="str">
        <f>IF(AB117="","",IF($I$8="A",(RANK(AB117,AB$11:AB$343)+COUNTIF(AB$11:AB117,AB117)-1),(RANK(AB117,AB$11:AB$343,1)+COUNTIF(AB$11:AB117,AB117)-1)))</f>
        <v/>
      </c>
      <c r="AD117" s="174"/>
      <c r="AE117" s="36" t="str">
        <f t="shared" si="74"/>
        <v/>
      </c>
      <c r="AG117" s="15"/>
      <c r="AH117" s="3"/>
      <c r="AI117" s="5" t="str">
        <f>IF(L117="","",VLOOKUP($L117,classifications!$C:$J,8,FALSE))</f>
        <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
      </c>
      <c r="AQ117" s="43" t="str">
        <f t="shared" si="79"/>
        <v/>
      </c>
      <c r="AR117" s="40" t="str">
        <f>IF(AQ117="","",IF(I$8="A",(RANK(AQ117,AQ$11:AQ$343,1)+COUNTIF(AQ$11:AQ117,AQ117)-1),(RANK(AQ117,AQ$11:AQ$343)+COUNTIF(AQ$11:AQ117,AQ117)-1)))</f>
        <v/>
      </c>
      <c r="AS117" s="3" t="str">
        <f t="shared" si="80"/>
        <v/>
      </c>
      <c r="AT117" s="40" t="str">
        <f t="shared" si="81"/>
        <v/>
      </c>
      <c r="AU117" s="43" t="str">
        <f t="shared" si="82"/>
        <v/>
      </c>
      <c r="AX117">
        <f>HLOOKUP($AX$9&amp;$AX$10,Data!$A$1:$ZZ$1980,(MATCH($C117,Data!$A$1:$A$1980,0)),FALSE)</f>
        <v>460</v>
      </c>
    </row>
    <row r="118" spans="1:50">
      <c r="A118" s="59" t="str">
        <f>$D$1&amp;108</f>
        <v>UA108</v>
      </c>
      <c r="B118" s="60">
        <f>IF(ISERROR(VLOOKUP(A120,classifications!A:C,3,FALSE)),0,VLOOKUP(A120,classifications!A:C,3,FALSE))</f>
        <v>0</v>
      </c>
      <c r="C118" t="s">
        <v>232</v>
      </c>
      <c r="D118" t="str">
        <f>VLOOKUP($C118,classifications!$C:$J,4,FALSE)</f>
        <v>MD</v>
      </c>
      <c r="E118">
        <f>VLOOKUP(C118,classifications!C:K,9,FALSE)</f>
        <v>0</v>
      </c>
      <c r="F118">
        <f t="shared" si="60"/>
        <v>615.5</v>
      </c>
      <c r="G118" s="15"/>
      <c r="H118" s="42" t="str">
        <f t="shared" si="61"/>
        <v/>
      </c>
      <c r="I118" s="79" t="str">
        <f>IF(H118="","",IF($I$8="A",(RANK(H118,H$11:H$343,1)+COUNTIF(H$11:H118,H118)-1),(RANK(H118,H$11:H$343)+COUNTIF(H$11:H118,H118)-1)))</f>
        <v/>
      </c>
      <c r="J118" s="41"/>
      <c r="K118" s="36" t="str">
        <f t="shared" si="62"/>
        <v/>
      </c>
      <c r="L118" t="str">
        <f t="shared" si="63"/>
        <v/>
      </c>
      <c r="M118" s="117" t="str">
        <f t="shared" si="64"/>
        <v/>
      </c>
      <c r="N118" s="112" t="str">
        <f t="shared" si="65"/>
        <v/>
      </c>
      <c r="O118" s="96" t="str">
        <f t="shared" si="66"/>
        <v/>
      </c>
      <c r="P118" s="96" t="str">
        <f t="shared" si="67"/>
        <v/>
      </c>
      <c r="Q118" s="96" t="str">
        <f t="shared" si="68"/>
        <v/>
      </c>
      <c r="R118" s="92" t="str">
        <f t="shared" si="69"/>
        <v/>
      </c>
      <c r="S118" s="42" t="str">
        <f t="shared" si="70"/>
        <v/>
      </c>
      <c r="T118" s="167" t="str">
        <f>IF(L118="","",VLOOKUP(L118,classifications!C:K,9,FALSE))</f>
        <v/>
      </c>
      <c r="U118" s="168" t="str">
        <f t="shared" si="71"/>
        <v/>
      </c>
      <c r="V118" s="174" t="str">
        <f>IF(U118="","",IF($I$8="A",(RANK(U118,U$11:U$343)+COUNTIF(U$11:U118,U118)-1),(RANK(U118,U$11:U$343,1)+COUNTIF(U$11:U118,U118)-1)))</f>
        <v/>
      </c>
      <c r="W118" s="175"/>
      <c r="X118" s="5" t="str">
        <f>IF(L118="","",VLOOKUP($L118,classifications!$C:$J,6,FALSE))</f>
        <v/>
      </c>
      <c r="Y118" t="str">
        <f t="shared" si="72"/>
        <v/>
      </c>
      <c r="Z118" s="40" t="str">
        <f>IF(Y118="","",IF(I$8="A",(RANK(Y118,Y$11:Y$343,1)+COUNTIF(Y$11:Y118,Y118)-1),(RANK(Y118,Y$11:Y$343)+COUNTIF(Y$11:Y118,Y118)-1)))</f>
        <v/>
      </c>
      <c r="AA118" s="180" t="str">
        <f>IF(L118="","",VLOOKUP($L118,classifications!C:I,7,FALSE))</f>
        <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615.5</v>
      </c>
    </row>
    <row r="119" spans="1:50">
      <c r="A119" s="59" t="str">
        <f>$D$1&amp;109</f>
        <v>UA109</v>
      </c>
      <c r="B119" s="60">
        <f>IF(ISERROR(VLOOKUP(A121,classifications!A:C,3,FALSE)),0,VLOOKUP(A121,classifications!A:C,3,FALSE))</f>
        <v>0</v>
      </c>
      <c r="C119" t="s">
        <v>72</v>
      </c>
      <c r="D119" t="str">
        <f>VLOOKUP($C119,classifications!$C:$J,4,FALSE)</f>
        <v>SD</v>
      </c>
      <c r="E119">
        <f>VLOOKUP(C119,classifications!C:K,9,FALSE)</f>
        <v>0</v>
      </c>
      <c r="F119">
        <f t="shared" si="60"/>
        <v>534.6</v>
      </c>
      <c r="G119" s="15"/>
      <c r="H119" s="42" t="str">
        <f t="shared" si="61"/>
        <v/>
      </c>
      <c r="I119" s="79" t="str">
        <f>IF(H119="","",IF($I$8="A",(RANK(H119,H$11:H$343,1)+COUNTIF(H$11:H119,H119)-1),(RANK(H119,H$11:H$343)+COUNTIF(H$11:H119,H119)-1)))</f>
        <v/>
      </c>
      <c r="J119" s="41"/>
      <c r="K119" s="36" t="str">
        <f t="shared" si="62"/>
        <v/>
      </c>
      <c r="L119" t="str">
        <f t="shared" si="63"/>
        <v/>
      </c>
      <c r="M119" s="117" t="str">
        <f t="shared" si="64"/>
        <v/>
      </c>
      <c r="N119" s="112" t="str">
        <f t="shared" si="65"/>
        <v/>
      </c>
      <c r="O119" s="96" t="str">
        <f t="shared" si="66"/>
        <v/>
      </c>
      <c r="P119" s="96" t="str">
        <f t="shared" si="67"/>
        <v/>
      </c>
      <c r="Q119" s="96" t="str">
        <f t="shared" si="68"/>
        <v/>
      </c>
      <c r="R119" s="92" t="str">
        <f t="shared" si="69"/>
        <v/>
      </c>
      <c r="S119" s="42" t="str">
        <f t="shared" si="70"/>
        <v/>
      </c>
      <c r="T119" s="167" t="str">
        <f>IF(L119="","",VLOOKUP(L119,classifications!C:K,9,FALSE))</f>
        <v/>
      </c>
      <c r="U119" s="168" t="str">
        <f t="shared" si="71"/>
        <v/>
      </c>
      <c r="V119" s="174" t="str">
        <f>IF(U119="","",IF($I$8="A",(RANK(U119,U$11:U$343)+COUNTIF(U$11:U119,U119)-1),(RANK(U119,U$11:U$343,1)+COUNTIF(U$11:U119,U119)-1)))</f>
        <v/>
      </c>
      <c r="W119" s="175"/>
      <c r="X119" s="5" t="str">
        <f>IF(L119="","",VLOOKUP($L119,classifications!$C:$J,6,FALSE))</f>
        <v/>
      </c>
      <c r="Y119" t="str">
        <f t="shared" si="72"/>
        <v/>
      </c>
      <c r="Z119" s="40" t="str">
        <f>IF(Y119="","",IF(I$8="A",(RANK(Y119,Y$11:Y$343,1)+COUNTIF(Y$11:Y119,Y119)-1),(RANK(Y119,Y$11:Y$343)+COUNTIF(Y$11:Y119,Y119)-1)))</f>
        <v/>
      </c>
      <c r="AA119" s="180" t="str">
        <f>IF(L119="","",VLOOKUP($L119,classifications!C:I,7,FALSE))</f>
        <v/>
      </c>
      <c r="AB119" s="174" t="str">
        <f t="shared" si="73"/>
        <v/>
      </c>
      <c r="AC119" s="174" t="str">
        <f>IF(AB119="","",IF($I$8="A",(RANK(AB119,AB$11:AB$343)+COUNTIF(AB$11:AB119,AB119)-1),(RANK(AB119,AB$11:AB$343,1)+COUNTIF(AB$11:AB119,AB119)-1)))</f>
        <v/>
      </c>
      <c r="AD119" s="174"/>
      <c r="AE119" s="36" t="str">
        <f t="shared" si="74"/>
        <v/>
      </c>
      <c r="AG119" s="15"/>
      <c r="AH119" s="3"/>
      <c r="AI119" s="5" t="str">
        <f>IF(L119="","",VLOOKUP($L119,classifications!$C:$J,8,FALSE))</f>
        <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
      </c>
      <c r="AQ119" s="43" t="str">
        <f t="shared" si="79"/>
        <v/>
      </c>
      <c r="AR119" s="40" t="str">
        <f>IF(AQ119="","",IF(I$8="A",(RANK(AQ119,AQ$11:AQ$343,1)+COUNTIF(AQ$11:AQ119,AQ119)-1),(RANK(AQ119,AQ$11:AQ$343)+COUNTIF(AQ$11:AQ119,AQ119)-1)))</f>
        <v/>
      </c>
      <c r="AS119" s="3" t="str">
        <f t="shared" si="80"/>
        <v/>
      </c>
      <c r="AT119" s="40" t="str">
        <f t="shared" si="81"/>
        <v/>
      </c>
      <c r="AU119" s="43" t="str">
        <f t="shared" si="82"/>
        <v/>
      </c>
      <c r="AX119">
        <f>HLOOKUP($AX$9&amp;$AX$10,Data!$A$1:$ZZ$1980,(MATCH($C119,Data!$A$1:$A$1980,0)),FALSE)</f>
        <v>534.6</v>
      </c>
    </row>
    <row r="120" spans="1:50">
      <c r="A120" s="59" t="str">
        <f>$D$1&amp;110</f>
        <v>UA110</v>
      </c>
      <c r="B120" s="60">
        <f>IF(ISERROR(VLOOKUP(A122,classifications!A:C,3,FALSE)),0,VLOOKUP(A122,classifications!A:C,3,FALSE))</f>
        <v>0</v>
      </c>
      <c r="C120" t="s">
        <v>73</v>
      </c>
      <c r="D120" t="str">
        <f>VLOOKUP($C120,classifications!$C:$J,4,FALSE)</f>
        <v>SD</v>
      </c>
      <c r="E120">
        <f>VLOOKUP(C120,classifications!C:K,9,FALSE)</f>
        <v>0</v>
      </c>
      <c r="F120">
        <f t="shared" si="60"/>
        <v>438.2</v>
      </c>
      <c r="G120" s="15"/>
      <c r="H120" s="42" t="str">
        <f t="shared" si="61"/>
        <v/>
      </c>
      <c r="I120" s="79" t="str">
        <f>IF(H120="","",IF($I$8="A",(RANK(H120,H$11:H$343,1)+COUNTIF(H$11:H120,H120)-1),(RANK(H120,H$11:H$343)+COUNTIF(H$11:H120,H120)-1)))</f>
        <v/>
      </c>
      <c r="J120" s="41"/>
      <c r="K120" s="36" t="str">
        <f t="shared" si="62"/>
        <v/>
      </c>
      <c r="L120" t="str">
        <f t="shared" si="63"/>
        <v/>
      </c>
      <c r="M120" s="117" t="str">
        <f t="shared" si="64"/>
        <v/>
      </c>
      <c r="N120" s="112" t="str">
        <f t="shared" si="65"/>
        <v/>
      </c>
      <c r="O120" s="96" t="str">
        <f t="shared" si="66"/>
        <v/>
      </c>
      <c r="P120" s="96" t="str">
        <f t="shared" si="67"/>
        <v/>
      </c>
      <c r="Q120" s="96" t="str">
        <f t="shared" si="68"/>
        <v/>
      </c>
      <c r="R120" s="92" t="str">
        <f t="shared" si="69"/>
        <v/>
      </c>
      <c r="S120" s="42" t="str">
        <f t="shared" si="70"/>
        <v/>
      </c>
      <c r="T120" s="167" t="str">
        <f>IF(L120="","",VLOOKUP(L120,classifications!C:K,9,FALSE))</f>
        <v/>
      </c>
      <c r="U120" s="168" t="str">
        <f t="shared" si="71"/>
        <v/>
      </c>
      <c r="V120" s="174" t="str">
        <f>IF(U120="","",IF($I$8="A",(RANK(U120,U$11:U$343)+COUNTIF(U$11:U120,U120)-1),(RANK(U120,U$11:U$343,1)+COUNTIF(U$11:U120,U120)-1)))</f>
        <v/>
      </c>
      <c r="W120" s="175"/>
      <c r="X120" s="5" t="str">
        <f>IF(L120="","",VLOOKUP($L120,classifications!$C:$J,6,FALSE))</f>
        <v/>
      </c>
      <c r="Y120" t="str">
        <f t="shared" si="72"/>
        <v/>
      </c>
      <c r="Z120" s="40" t="str">
        <f>IF(Y120="","",IF(I$8="A",(RANK(Y120,Y$11:Y$343,1)+COUNTIF(Y$11:Y120,Y120)-1),(RANK(Y120,Y$11:Y$343)+COUNTIF(Y$11:Y120,Y120)-1)))</f>
        <v/>
      </c>
      <c r="AA120" s="180" t="str">
        <f>IF(L120="","",VLOOKUP($L120,classifications!C:I,7,FALSE))</f>
        <v/>
      </c>
      <c r="AB120" s="174" t="str">
        <f t="shared" si="73"/>
        <v/>
      </c>
      <c r="AC120" s="174" t="str">
        <f>IF(AB120="","",IF($I$8="A",(RANK(AB120,AB$11:AB$343)+COUNTIF(AB$11:AB120,AB120)-1),(RANK(AB120,AB$11:AB$343,1)+COUNTIF(AB$11:AB120,AB120)-1)))</f>
        <v/>
      </c>
      <c r="AD120" s="174"/>
      <c r="AE120" s="36" t="str">
        <f t="shared" si="74"/>
        <v/>
      </c>
      <c r="AG120" s="15"/>
      <c r="AH120" s="3"/>
      <c r="AI120" s="5" t="str">
        <f>IF(L120="","",VLOOKUP($L120,classifications!$C:$J,8,FALSE))</f>
        <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
      </c>
      <c r="AQ120" s="43" t="str">
        <f t="shared" si="79"/>
        <v/>
      </c>
      <c r="AR120" s="40" t="str">
        <f>IF(AQ120="","",IF(I$8="A",(RANK(AQ120,AQ$11:AQ$343,1)+COUNTIF(AQ$11:AQ120,AQ120)-1),(RANK(AQ120,AQ$11:AQ$343)+COUNTIF(AQ$11:AQ120,AQ120)-1)))</f>
        <v/>
      </c>
      <c r="AS120" s="3" t="str">
        <f t="shared" si="80"/>
        <v/>
      </c>
      <c r="AT120" s="40" t="str">
        <f t="shared" si="81"/>
        <v/>
      </c>
      <c r="AU120" s="43" t="str">
        <f t="shared" si="82"/>
        <v/>
      </c>
      <c r="AX120">
        <f>HLOOKUP($AX$9&amp;$AX$10,Data!$A$1:$ZZ$1980,(MATCH($C120,Data!$A$1:$A$1980,0)),FALSE)</f>
        <v>438.2</v>
      </c>
    </row>
    <row r="121" spans="1:50">
      <c r="A121" s="59" t="str">
        <f>$D$1&amp;111</f>
        <v>UA111</v>
      </c>
      <c r="B121" s="60">
        <f>IF(ISERROR(VLOOKUP(A123,classifications!A:C,3,FALSE)),0,VLOOKUP(A123,classifications!A:C,3,FALSE))</f>
        <v>0</v>
      </c>
      <c r="C121" t="s">
        <v>313</v>
      </c>
      <c r="D121" t="str">
        <f>VLOOKUP($C121,classifications!$C:$J,4,FALSE)</f>
        <v>SC</v>
      </c>
      <c r="E121">
        <f>VLOOKUP(C121,classifications!C:K,9,FALSE)</f>
        <v>0</v>
      </c>
      <c r="F121">
        <f t="shared" si="60"/>
        <v>431.3</v>
      </c>
      <c r="G121" s="15"/>
      <c r="H121" s="42" t="str">
        <f t="shared" si="61"/>
        <v/>
      </c>
      <c r="I121" s="79" t="str">
        <f>IF(H121="","",IF($I$8="A",(RANK(H121,H$11:H$343,1)+COUNTIF(H$11:H121,H121)-1),(RANK(H121,H$11:H$343)+COUNTIF(H$11:H121,H121)-1)))</f>
        <v/>
      </c>
      <c r="J121" s="41"/>
      <c r="K121" s="36" t="str">
        <f t="shared" si="62"/>
        <v/>
      </c>
      <c r="L121" t="str">
        <f t="shared" si="63"/>
        <v/>
      </c>
      <c r="M121" s="117" t="str">
        <f t="shared" si="64"/>
        <v/>
      </c>
      <c r="N121" s="112" t="str">
        <f t="shared" si="65"/>
        <v/>
      </c>
      <c r="O121" s="96" t="str">
        <f t="shared" si="66"/>
        <v/>
      </c>
      <c r="P121" s="96" t="str">
        <f t="shared" si="67"/>
        <v/>
      </c>
      <c r="Q121" s="96" t="str">
        <f t="shared" si="68"/>
        <v/>
      </c>
      <c r="R121" s="92" t="str">
        <f t="shared" si="69"/>
        <v/>
      </c>
      <c r="S121" s="42" t="str">
        <f t="shared" si="70"/>
        <v/>
      </c>
      <c r="T121" s="167" t="str">
        <f>IF(L121="","",VLOOKUP(L121,classifications!C:K,9,FALSE))</f>
        <v/>
      </c>
      <c r="U121" s="168" t="str">
        <f t="shared" si="71"/>
        <v/>
      </c>
      <c r="V121" s="174" t="str">
        <f>IF(U121="","",IF($I$8="A",(RANK(U121,U$11:U$343)+COUNTIF(U$11:U121,U121)-1),(RANK(U121,U$11:U$343,1)+COUNTIF(U$11:U121,U121)-1)))</f>
        <v/>
      </c>
      <c r="W121" s="175"/>
      <c r="X121" s="5" t="str">
        <f>IF(L121="","",VLOOKUP($L121,classifications!$C:$J,6,FALSE))</f>
        <v/>
      </c>
      <c r="Y121" t="str">
        <f t="shared" si="72"/>
        <v/>
      </c>
      <c r="Z121" s="40" t="str">
        <f>IF(Y121="","",IF(I$8="A",(RANK(Y121,Y$11:Y$343,1)+COUNTIF(Y$11:Y121,Y121)-1),(RANK(Y121,Y$11:Y$343)+COUNTIF(Y$11:Y121,Y121)-1)))</f>
        <v/>
      </c>
      <c r="AA121" s="180" t="str">
        <f>IF(L121="","",VLOOKUP($L121,classifications!C:I,7,FALSE))</f>
        <v/>
      </c>
      <c r="AB121" s="174" t="str">
        <f t="shared" si="73"/>
        <v/>
      </c>
      <c r="AC121" s="174" t="str">
        <f>IF(AB121="","",IF($I$8="A",(RANK(AB121,AB$11:AB$343)+COUNTIF(AB$11:AB121,AB121)-1),(RANK(AB121,AB$11:AB$343,1)+COUNTIF(AB$11:AB121,AB121)-1)))</f>
        <v/>
      </c>
      <c r="AD121" s="174"/>
      <c r="AE121" s="36" t="str">
        <f t="shared" si="74"/>
        <v/>
      </c>
      <c r="AG121" s="15"/>
      <c r="AH121" s="3"/>
      <c r="AI121" s="5" t="str">
        <f>IF(L121="","",VLOOKUP($L121,classifications!$C:$J,8,FALSE))</f>
        <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431.3</v>
      </c>
    </row>
    <row r="122" spans="1:50">
      <c r="A122" s="59" t="str">
        <f>$D$1&amp;112</f>
        <v>UA112</v>
      </c>
      <c r="B122" s="60">
        <f>IF(ISERROR(VLOOKUP(A124,classifications!A:C,3,FALSE)),0,VLOOKUP(A124,classifications!A:C,3,FALSE))</f>
        <v>0</v>
      </c>
      <c r="C122" t="s">
        <v>74</v>
      </c>
      <c r="D122" t="str">
        <f>VLOOKUP($C122,classifications!$C:$J,4,FALSE)</f>
        <v>SD</v>
      </c>
      <c r="E122">
        <f>VLOOKUP(C122,classifications!C:K,9,FALSE)</f>
        <v>0</v>
      </c>
      <c r="F122">
        <f t="shared" si="60"/>
        <v>456.6</v>
      </c>
      <c r="G122" s="15"/>
      <c r="H122" s="42" t="str">
        <f t="shared" si="61"/>
        <v/>
      </c>
      <c r="I122" s="79" t="str">
        <f>IF(H122="","",IF($I$8="A",(RANK(H122,H$11:H$343,1)+COUNTIF(H$11:H122,H122)-1),(RANK(H122,H$11:H$343)+COUNTIF(H$11:H122,H122)-1)))</f>
        <v/>
      </c>
      <c r="J122" s="41"/>
      <c r="K122" s="36" t="str">
        <f t="shared" si="62"/>
        <v/>
      </c>
      <c r="L122" t="str">
        <f t="shared" si="63"/>
        <v/>
      </c>
      <c r="M122" s="117" t="str">
        <f t="shared" si="64"/>
        <v/>
      </c>
      <c r="N122" s="112" t="str">
        <f t="shared" si="65"/>
        <v/>
      </c>
      <c r="O122" s="96" t="str">
        <f t="shared" si="66"/>
        <v/>
      </c>
      <c r="P122" s="96" t="str">
        <f t="shared" si="67"/>
        <v/>
      </c>
      <c r="Q122" s="96" t="str">
        <f t="shared" si="68"/>
        <v/>
      </c>
      <c r="R122" s="92" t="str">
        <f t="shared" si="69"/>
        <v/>
      </c>
      <c r="S122" s="42" t="str">
        <f t="shared" si="70"/>
        <v/>
      </c>
      <c r="T122" s="167" t="str">
        <f>IF(L122="","",VLOOKUP(L122,classifications!C:K,9,FALSE))</f>
        <v/>
      </c>
      <c r="U122" s="168" t="str">
        <f t="shared" si="71"/>
        <v/>
      </c>
      <c r="V122" s="174" t="str">
        <f>IF(U122="","",IF($I$8="A",(RANK(U122,U$11:U$343)+COUNTIF(U$11:U122,U122)-1),(RANK(U122,U$11:U$343,1)+COUNTIF(U$11:U122,U122)-1)))</f>
        <v/>
      </c>
      <c r="W122" s="175"/>
      <c r="X122" s="5" t="str">
        <f>IF(L122="","",VLOOKUP($L122,classifications!$C:$J,6,FALSE))</f>
        <v/>
      </c>
      <c r="Y122" t="str">
        <f t="shared" si="72"/>
        <v/>
      </c>
      <c r="Z122" s="40" t="str">
        <f>IF(Y122="","",IF(I$8="A",(RANK(Y122,Y$11:Y$343,1)+COUNTIF(Y$11:Y122,Y122)-1),(RANK(Y122,Y$11:Y$343)+COUNTIF(Y$11:Y122,Y122)-1)))</f>
        <v/>
      </c>
      <c r="AA122" s="180" t="str">
        <f>IF(L122="","",VLOOKUP($L122,classifications!C:I,7,FALSE))</f>
        <v/>
      </c>
      <c r="AB122" s="174" t="str">
        <f t="shared" si="73"/>
        <v/>
      </c>
      <c r="AC122" s="174" t="str">
        <f>IF(AB122="","",IF($I$8="A",(RANK(AB122,AB$11:AB$343)+COUNTIF(AB$11:AB122,AB122)-1),(RANK(AB122,AB$11:AB$343,1)+COUNTIF(AB$11:AB122,AB122)-1)))</f>
        <v/>
      </c>
      <c r="AD122" s="174"/>
      <c r="AE122" s="36" t="str">
        <f t="shared" si="74"/>
        <v/>
      </c>
      <c r="AG122" s="15"/>
      <c r="AH122" s="3"/>
      <c r="AI122" s="5" t="str">
        <f>IF(L122="","",VLOOKUP($L122,classifications!$C:$J,8,FALSE))</f>
        <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
      </c>
      <c r="AQ122" s="43" t="str">
        <f t="shared" si="79"/>
        <v/>
      </c>
      <c r="AR122" s="40" t="str">
        <f>IF(AQ122="","",IF(I$8="A",(RANK(AQ122,AQ$11:AQ$343,1)+COUNTIF(AQ$11:AQ122,AQ122)-1),(RANK(AQ122,AQ$11:AQ$343)+COUNTIF(AQ$11:AQ122,AQ122)-1)))</f>
        <v/>
      </c>
      <c r="AS122" s="3" t="str">
        <f t="shared" si="80"/>
        <v/>
      </c>
      <c r="AT122" s="40" t="str">
        <f t="shared" si="81"/>
        <v/>
      </c>
      <c r="AU122" s="43" t="str">
        <f t="shared" si="82"/>
        <v/>
      </c>
      <c r="AX122">
        <f>HLOOKUP($AX$9&amp;$AX$10,Data!$A$1:$ZZ$1980,(MATCH($C122,Data!$A$1:$A$1980,0)),FALSE)</f>
        <v>456.6</v>
      </c>
    </row>
    <row r="123" spans="1:50">
      <c r="A123" s="59" t="str">
        <f>$D$1&amp;113</f>
        <v>UA113</v>
      </c>
      <c r="B123" s="60">
        <f>IF(ISERROR(VLOOKUP(A125,classifications!A:C,3,FALSE)),0,VLOOKUP(A125,classifications!A:C,3,FALSE))</f>
        <v>0</v>
      </c>
      <c r="C123" t="s">
        <v>75</v>
      </c>
      <c r="D123" t="str">
        <f>VLOOKUP($C123,classifications!$C:$J,4,FALSE)</f>
        <v>SD</v>
      </c>
      <c r="E123">
        <f>VLOOKUP(C123,classifications!C:K,9,FALSE)</f>
        <v>0</v>
      </c>
      <c r="F123">
        <f t="shared" si="60"/>
        <v>475.2</v>
      </c>
      <c r="G123" s="15"/>
      <c r="H123" s="42" t="str">
        <f t="shared" si="61"/>
        <v/>
      </c>
      <c r="I123" s="79" t="str">
        <f>IF(H123="","",IF($I$8="A",(RANK(H123,H$11:H$343,1)+COUNTIF(H$11:H123,H123)-1),(RANK(H123,H$11:H$343)+COUNTIF(H$11:H123,H123)-1)))</f>
        <v/>
      </c>
      <c r="J123" s="41"/>
      <c r="K123" s="36" t="str">
        <f t="shared" si="62"/>
        <v/>
      </c>
      <c r="L123" t="str">
        <f t="shared" si="63"/>
        <v/>
      </c>
      <c r="M123" s="117" t="str">
        <f t="shared" si="64"/>
        <v/>
      </c>
      <c r="N123" s="112" t="str">
        <f t="shared" si="65"/>
        <v/>
      </c>
      <c r="O123" s="96" t="str">
        <f t="shared" si="66"/>
        <v/>
      </c>
      <c r="P123" s="96" t="str">
        <f t="shared" si="67"/>
        <v/>
      </c>
      <c r="Q123" s="96" t="str">
        <f t="shared" si="68"/>
        <v/>
      </c>
      <c r="R123" s="92" t="str">
        <f t="shared" si="69"/>
        <v/>
      </c>
      <c r="S123" s="42" t="str">
        <f t="shared" si="70"/>
        <v/>
      </c>
      <c r="T123" s="167" t="str">
        <f>IF(L123="","",VLOOKUP(L123,classifications!C:K,9,FALSE))</f>
        <v/>
      </c>
      <c r="U123" s="168" t="str">
        <f t="shared" si="71"/>
        <v/>
      </c>
      <c r="V123" s="174" t="str">
        <f>IF(U123="","",IF($I$8="A",(RANK(U123,U$11:U$343)+COUNTIF(U$11:U123,U123)-1),(RANK(U123,U$11:U$343,1)+COUNTIF(U$11:U123,U123)-1)))</f>
        <v/>
      </c>
      <c r="W123" s="175"/>
      <c r="X123" s="5" t="str">
        <f>IF(L123="","",VLOOKUP($L123,classifications!$C:$J,6,FALSE))</f>
        <v/>
      </c>
      <c r="Y123" t="str">
        <f t="shared" si="72"/>
        <v/>
      </c>
      <c r="Z123" s="40" t="str">
        <f>IF(Y123="","",IF(I$8="A",(RANK(Y123,Y$11:Y$343,1)+COUNTIF(Y$11:Y123,Y123)-1),(RANK(Y123,Y$11:Y$343)+COUNTIF(Y$11:Y123,Y123)-1)))</f>
        <v/>
      </c>
      <c r="AA123" s="180" t="str">
        <f>IF(L123="","",VLOOKUP($L123,classifications!C:I,7,FALSE))</f>
        <v/>
      </c>
      <c r="AB123" s="174" t="str">
        <f t="shared" si="73"/>
        <v/>
      </c>
      <c r="AC123" s="174" t="str">
        <f>IF(AB123="","",IF($I$8="A",(RANK(AB123,AB$11:AB$343)+COUNTIF(AB$11:AB123,AB123)-1),(RANK(AB123,AB$11:AB$343,1)+COUNTIF(AB$11:AB123,AB123)-1)))</f>
        <v/>
      </c>
      <c r="AD123" s="174"/>
      <c r="AE123" s="36" t="str">
        <f t="shared" si="74"/>
        <v/>
      </c>
      <c r="AG123" s="15"/>
      <c r="AH123" s="3"/>
      <c r="AI123" s="5" t="str">
        <f>IF(L123="","",VLOOKUP($L123,classifications!$C:$J,8,FALSE))</f>
        <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
      </c>
      <c r="AQ123" s="43" t="str">
        <f t="shared" si="79"/>
        <v/>
      </c>
      <c r="AR123" s="40" t="str">
        <f>IF(AQ123="","",IF(I$8="A",(RANK(AQ123,AQ$11:AQ$343,1)+COUNTIF(AQ$11:AQ123,AQ123)-1),(RANK(AQ123,AQ$11:AQ$343)+COUNTIF(AQ$11:AQ123,AQ123)-1)))</f>
        <v/>
      </c>
      <c r="AS123" s="3" t="str">
        <f t="shared" si="80"/>
        <v/>
      </c>
      <c r="AT123" s="40" t="str">
        <f t="shared" si="81"/>
        <v/>
      </c>
      <c r="AU123" s="43" t="str">
        <f t="shared" si="82"/>
        <v/>
      </c>
      <c r="AX123">
        <f>HLOOKUP($AX$9&amp;$AX$10,Data!$A$1:$ZZ$1980,(MATCH($C123,Data!$A$1:$A$1980,0)),FALSE)</f>
        <v>475.2</v>
      </c>
    </row>
    <row r="124" spans="1:50">
      <c r="A124" s="59" t="str">
        <f>$D$1&amp;114</f>
        <v>UA114</v>
      </c>
      <c r="B124" s="60">
        <f>IF(ISERROR(VLOOKUP(A126,classifications!A:C,3,FALSE)),0,VLOOKUP(A126,classifications!A:C,3,FALSE))</f>
        <v>0</v>
      </c>
      <c r="C124" t="s">
        <v>76</v>
      </c>
      <c r="D124" t="str">
        <f>VLOOKUP($C124,classifications!$C:$J,4,FALSE)</f>
        <v>SD</v>
      </c>
      <c r="E124">
        <f>VLOOKUP(C124,classifications!C:K,9,FALSE)</f>
        <v>0</v>
      </c>
      <c r="F124">
        <f t="shared" si="60"/>
        <v>529</v>
      </c>
      <c r="G124" s="15"/>
      <c r="H124" s="42" t="str">
        <f t="shared" si="61"/>
        <v/>
      </c>
      <c r="I124" s="79" t="str">
        <f>IF(H124="","",IF($I$8="A",(RANK(H124,H$11:H$343,1)+COUNTIF(H$11:H124,H124)-1),(RANK(H124,H$11:H$343)+COUNTIF(H$11:H124,H124)-1)))</f>
        <v/>
      </c>
      <c r="J124" s="41"/>
      <c r="K124" s="36" t="str">
        <f t="shared" si="62"/>
        <v/>
      </c>
      <c r="L124" t="str">
        <f t="shared" si="63"/>
        <v/>
      </c>
      <c r="M124" s="117" t="str">
        <f t="shared" si="64"/>
        <v/>
      </c>
      <c r="N124" s="112" t="str">
        <f t="shared" si="65"/>
        <v/>
      </c>
      <c r="O124" s="96" t="str">
        <f t="shared" si="66"/>
        <v/>
      </c>
      <c r="P124" s="96" t="str">
        <f t="shared" si="67"/>
        <v/>
      </c>
      <c r="Q124" s="96" t="str">
        <f t="shared" si="68"/>
        <v/>
      </c>
      <c r="R124" s="92" t="str">
        <f t="shared" si="69"/>
        <v/>
      </c>
      <c r="S124" s="42" t="str">
        <f t="shared" si="70"/>
        <v/>
      </c>
      <c r="T124" s="167" t="str">
        <f>IF(L124="","",VLOOKUP(L124,classifications!C:K,9,FALSE))</f>
        <v/>
      </c>
      <c r="U124" s="168" t="str">
        <f t="shared" si="71"/>
        <v/>
      </c>
      <c r="V124" s="174" t="str">
        <f>IF(U124="","",IF($I$8="A",(RANK(U124,U$11:U$343)+COUNTIF(U$11:U124,U124)-1),(RANK(U124,U$11:U$343,1)+COUNTIF(U$11:U124,U124)-1)))</f>
        <v/>
      </c>
      <c r="W124" s="175"/>
      <c r="X124" s="5" t="str">
        <f>IF(L124="","",VLOOKUP($L124,classifications!$C:$J,6,FALSE))</f>
        <v/>
      </c>
      <c r="Y124" t="str">
        <f t="shared" si="72"/>
        <v/>
      </c>
      <c r="Z124" s="40" t="str">
        <f>IF(Y124="","",IF(I$8="A",(RANK(Y124,Y$11:Y$343,1)+COUNTIF(Y$11:Y124,Y124)-1),(RANK(Y124,Y$11:Y$343)+COUNTIF(Y$11:Y124,Y124)-1)))</f>
        <v/>
      </c>
      <c r="AA124" s="180" t="str">
        <f>IF(L124="","",VLOOKUP($L124,classifications!C:I,7,FALSE))</f>
        <v/>
      </c>
      <c r="AB124" s="174" t="str">
        <f t="shared" si="73"/>
        <v/>
      </c>
      <c r="AC124" s="174" t="str">
        <f>IF(AB124="","",IF($I$8="A",(RANK(AB124,AB$11:AB$343)+COUNTIF(AB$11:AB124,AB124)-1),(RANK(AB124,AB$11:AB$343,1)+COUNTIF(AB$11:AB124,AB124)-1)))</f>
        <v/>
      </c>
      <c r="AD124" s="174"/>
      <c r="AE124" s="36" t="str">
        <f t="shared" si="74"/>
        <v/>
      </c>
      <c r="AG124" s="15"/>
      <c r="AH124" s="3"/>
      <c r="AI124" s="5" t="str">
        <f>IF(L124="","",VLOOKUP($L124,classifications!$C:$J,8,FALSE))</f>
        <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
      </c>
      <c r="AQ124" s="43" t="str">
        <f t="shared" si="79"/>
        <v/>
      </c>
      <c r="AR124" s="40" t="str">
        <f>IF(AQ124="","",IF(I$8="A",(RANK(AQ124,AQ$11:AQ$343,1)+COUNTIF(AQ$11:AQ124,AQ124)-1),(RANK(AQ124,AQ$11:AQ$343)+COUNTIF(AQ$11:AQ124,AQ124)-1)))</f>
        <v/>
      </c>
      <c r="AS124" s="3" t="str">
        <f t="shared" si="80"/>
        <v/>
      </c>
      <c r="AT124" s="40" t="str">
        <f t="shared" si="81"/>
        <v/>
      </c>
      <c r="AU124" s="43" t="str">
        <f t="shared" si="82"/>
        <v/>
      </c>
      <c r="AX124">
        <f>HLOOKUP($AX$9&amp;$AX$10,Data!$A$1:$ZZ$1980,(MATCH($C124,Data!$A$1:$A$1980,0)),FALSE)</f>
        <v>529</v>
      </c>
    </row>
    <row r="125" spans="1:50">
      <c r="A125" s="59" t="str">
        <f>$D$1&amp;115</f>
        <v>UA115</v>
      </c>
      <c r="B125" s="60">
        <f>IF(ISERROR(VLOOKUP(A127,classifications!A:C,3,FALSE)),0,VLOOKUP(A127,classifications!A:C,3,FALSE))</f>
        <v>0</v>
      </c>
      <c r="C125" t="s">
        <v>205</v>
      </c>
      <c r="D125" t="str">
        <f>VLOOKUP($C125,classifications!$C:$J,4,FALSE)</f>
        <v>L</v>
      </c>
      <c r="E125">
        <f>VLOOKUP(C125,classifications!C:K,9,FALSE)</f>
        <v>0</v>
      </c>
      <c r="F125">
        <f t="shared" si="60"/>
        <v>576.29999999999995</v>
      </c>
      <c r="G125" s="15"/>
      <c r="H125" s="42" t="str">
        <f t="shared" si="61"/>
        <v/>
      </c>
      <c r="I125" s="79" t="str">
        <f>IF(H125="","",IF($I$8="A",(RANK(H125,H$11:H$343,1)+COUNTIF(H$11:H125,H125)-1),(RANK(H125,H$11:H$343)+COUNTIF(H$11:H125,H125)-1)))</f>
        <v/>
      </c>
      <c r="J125" s="41"/>
      <c r="K125" s="36" t="str">
        <f t="shared" si="62"/>
        <v/>
      </c>
      <c r="L125" t="str">
        <f t="shared" si="63"/>
        <v/>
      </c>
      <c r="M125" s="117" t="str">
        <f t="shared" si="64"/>
        <v/>
      </c>
      <c r="N125" s="112" t="str">
        <f t="shared" si="65"/>
        <v/>
      </c>
      <c r="O125" s="96" t="str">
        <f t="shared" si="66"/>
        <v/>
      </c>
      <c r="P125" s="96" t="str">
        <f t="shared" si="67"/>
        <v/>
      </c>
      <c r="Q125" s="96" t="str">
        <f t="shared" si="68"/>
        <v/>
      </c>
      <c r="R125" s="92" t="str">
        <f t="shared" si="69"/>
        <v/>
      </c>
      <c r="S125" s="42" t="str">
        <f t="shared" si="70"/>
        <v/>
      </c>
      <c r="T125" s="167" t="str">
        <f>IF(L125="","",VLOOKUP(L125,classifications!C:K,9,FALSE))</f>
        <v/>
      </c>
      <c r="U125" s="168" t="str">
        <f t="shared" si="71"/>
        <v/>
      </c>
      <c r="V125" s="174" t="str">
        <f>IF(U125="","",IF($I$8="A",(RANK(U125,U$11:U$343)+COUNTIF(U$11:U125,U125)-1),(RANK(U125,U$11:U$343,1)+COUNTIF(U$11:U125,U125)-1)))</f>
        <v/>
      </c>
      <c r="W125" s="175"/>
      <c r="X125" s="5" t="str">
        <f>IF(L125="","",VLOOKUP($L125,classifications!$C:$J,6,FALSE))</f>
        <v/>
      </c>
      <c r="Y125" t="str">
        <f t="shared" si="72"/>
        <v/>
      </c>
      <c r="Z125" s="40" t="str">
        <f>IF(Y125="","",IF(I$8="A",(RANK(Y125,Y$11:Y$343,1)+COUNTIF(Y$11:Y125,Y125)-1),(RANK(Y125,Y$11:Y$343)+COUNTIF(Y$11:Y125,Y125)-1)))</f>
        <v/>
      </c>
      <c r="AA125" s="180" t="str">
        <f>IF(L125="","",VLOOKUP($L125,classifications!C:I,7,FALSE))</f>
        <v/>
      </c>
      <c r="AB125" s="174" t="str">
        <f t="shared" si="73"/>
        <v/>
      </c>
      <c r="AC125" s="174" t="str">
        <f>IF(AB125="","",IF($I$8="A",(RANK(AB125,AB$11:AB$343)+COUNTIF(AB$11:AB125,AB125)-1),(RANK(AB125,AB$11:AB$343,1)+COUNTIF(AB$11:AB125,AB125)-1)))</f>
        <v/>
      </c>
      <c r="AD125" s="174"/>
      <c r="AE125" s="36" t="str">
        <f t="shared" si="74"/>
        <v/>
      </c>
      <c r="AG125" s="15"/>
      <c r="AH125" s="3"/>
      <c r="AI125" s="5" t="str">
        <f>IF(L125="","",VLOOKUP($L125,classifications!$C:$J,8,FALSE))</f>
        <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576.29999999999995</v>
      </c>
    </row>
    <row r="126" spans="1:50">
      <c r="A126" s="59" t="str">
        <f>$D$1&amp;116</f>
        <v>UA116</v>
      </c>
      <c r="B126" s="60">
        <f>IF(ISERROR(VLOOKUP(A128,classifications!A:C,3,FALSE)),0,VLOOKUP(A128,classifications!A:C,3,FALSE))</f>
        <v>0</v>
      </c>
      <c r="C126" t="s">
        <v>77</v>
      </c>
      <c r="D126" t="str">
        <f>VLOOKUP($C126,classifications!$C:$J,4,FALSE)</f>
        <v>SD</v>
      </c>
      <c r="E126">
        <f>VLOOKUP(C126,classifications!C:K,9,FALSE)</f>
        <v>0</v>
      </c>
      <c r="F126">
        <f t="shared" si="60"/>
        <v>360</v>
      </c>
      <c r="G126" s="15"/>
      <c r="H126" s="42" t="str">
        <f t="shared" si="61"/>
        <v/>
      </c>
      <c r="I126" s="79" t="str">
        <f>IF(H126="","",IF($I$8="A",(RANK(H126,H$11:H$343,1)+COUNTIF(H$11:H126,H126)-1),(RANK(H126,H$11:H$343)+COUNTIF(H$11:H126,H126)-1)))</f>
        <v/>
      </c>
      <c r="J126" s="41"/>
      <c r="K126" s="36" t="str">
        <f t="shared" si="62"/>
        <v/>
      </c>
      <c r="L126" t="str">
        <f t="shared" si="63"/>
        <v/>
      </c>
      <c r="M126" s="117" t="str">
        <f t="shared" si="64"/>
        <v/>
      </c>
      <c r="N126" s="112" t="str">
        <f t="shared" si="65"/>
        <v/>
      </c>
      <c r="O126" s="96" t="str">
        <f t="shared" si="66"/>
        <v/>
      </c>
      <c r="P126" s="96" t="str">
        <f t="shared" si="67"/>
        <v/>
      </c>
      <c r="Q126" s="96" t="str">
        <f t="shared" si="68"/>
        <v/>
      </c>
      <c r="R126" s="92" t="str">
        <f t="shared" si="69"/>
        <v/>
      </c>
      <c r="S126" s="42" t="str">
        <f t="shared" si="70"/>
        <v/>
      </c>
      <c r="T126" s="167" t="str">
        <f>IF(L126="","",VLOOKUP(L126,classifications!C:K,9,FALSE))</f>
        <v/>
      </c>
      <c r="U126" s="168" t="str">
        <f t="shared" si="71"/>
        <v/>
      </c>
      <c r="V126" s="174" t="str">
        <f>IF(U126="","",IF($I$8="A",(RANK(U126,U$11:U$343)+COUNTIF(U$11:U126,U126)-1),(RANK(U126,U$11:U$343,1)+COUNTIF(U$11:U126,U126)-1)))</f>
        <v/>
      </c>
      <c r="W126" s="175"/>
      <c r="X126" s="5" t="str">
        <f>IF(L126="","",VLOOKUP($L126,classifications!$C:$J,6,FALSE))</f>
        <v/>
      </c>
      <c r="Y126" t="str">
        <f t="shared" si="72"/>
        <v/>
      </c>
      <c r="Z126" s="40" t="str">
        <f>IF(Y126="","",IF(I$8="A",(RANK(Y126,Y$11:Y$343,1)+COUNTIF(Y$11:Y126,Y126)-1),(RANK(Y126,Y$11:Y$343)+COUNTIF(Y$11:Y126,Y126)-1)))</f>
        <v/>
      </c>
      <c r="AA126" s="180" t="str">
        <f>IF(L126="","",VLOOKUP($L126,classifications!C:I,7,FALSE))</f>
        <v/>
      </c>
      <c r="AB126" s="174" t="str">
        <f t="shared" si="73"/>
        <v/>
      </c>
      <c r="AC126" s="174" t="str">
        <f>IF(AB126="","",IF($I$8="A",(RANK(AB126,AB$11:AB$343)+COUNTIF(AB$11:AB126,AB126)-1),(RANK(AB126,AB$11:AB$343,1)+COUNTIF(AB$11:AB126,AB126)-1)))</f>
        <v/>
      </c>
      <c r="AD126" s="174"/>
      <c r="AE126" s="36" t="str">
        <f t="shared" si="74"/>
        <v/>
      </c>
      <c r="AG126" s="15"/>
      <c r="AH126" s="3"/>
      <c r="AI126" s="5" t="str">
        <f>IF(L126="","",VLOOKUP($L126,classifications!$C:$J,8,FALSE))</f>
        <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
      </c>
      <c r="AQ126" s="43" t="str">
        <f t="shared" si="79"/>
        <v/>
      </c>
      <c r="AR126" s="40" t="str">
        <f>IF(AQ126="","",IF(I$8="A",(RANK(AQ126,AQ$11:AQ$343,1)+COUNTIF(AQ$11:AQ126,AQ126)-1),(RANK(AQ126,AQ$11:AQ$343)+COUNTIF(AQ$11:AQ126,AQ126)-1)))</f>
        <v/>
      </c>
      <c r="AS126" s="3" t="str">
        <f t="shared" si="80"/>
        <v/>
      </c>
      <c r="AT126" s="40" t="str">
        <f t="shared" si="81"/>
        <v/>
      </c>
      <c r="AU126" s="43" t="str">
        <f t="shared" si="82"/>
        <v/>
      </c>
      <c r="AX126">
        <f>HLOOKUP($AX$9&amp;$AX$10,Data!$A$1:$ZZ$1980,(MATCH($C126,Data!$A$1:$A$1980,0)),FALSE)</f>
        <v>360</v>
      </c>
    </row>
    <row r="127" spans="1:50">
      <c r="A127" s="59" t="str">
        <f>$D$1&amp;117</f>
        <v>UA117</v>
      </c>
      <c r="B127" s="60">
        <f>IF(ISERROR(VLOOKUP(A129,classifications!A:C,3,FALSE)),0,VLOOKUP(A129,classifications!A:C,3,FALSE))</f>
        <v>0</v>
      </c>
      <c r="C127" t="s">
        <v>206</v>
      </c>
      <c r="D127" t="str">
        <f>VLOOKUP($C127,classifications!$C:$J,4,FALSE)</f>
        <v>L</v>
      </c>
      <c r="E127">
        <f>VLOOKUP(C127,classifications!C:K,9,FALSE)</f>
        <v>0</v>
      </c>
      <c r="F127">
        <f t="shared" si="60"/>
        <v>511.9</v>
      </c>
      <c r="G127" s="15"/>
      <c r="H127" s="42" t="str">
        <f t="shared" si="61"/>
        <v/>
      </c>
      <c r="I127" s="79" t="str">
        <f>IF(H127="","",IF($I$8="A",(RANK(H127,H$11:H$343,1)+COUNTIF(H$11:H127,H127)-1),(RANK(H127,H$11:H$343)+COUNTIF(H$11:H127,H127)-1)))</f>
        <v/>
      </c>
      <c r="J127" s="41"/>
      <c r="K127" s="36" t="str">
        <f t="shared" si="62"/>
        <v/>
      </c>
      <c r="L127" t="str">
        <f t="shared" si="63"/>
        <v/>
      </c>
      <c r="M127" s="117" t="str">
        <f t="shared" si="64"/>
        <v/>
      </c>
      <c r="N127" s="112" t="str">
        <f t="shared" si="65"/>
        <v/>
      </c>
      <c r="O127" s="96" t="str">
        <f t="shared" si="66"/>
        <v/>
      </c>
      <c r="P127" s="96" t="str">
        <f t="shared" si="67"/>
        <v/>
      </c>
      <c r="Q127" s="96" t="str">
        <f t="shared" si="68"/>
        <v/>
      </c>
      <c r="R127" s="92" t="str">
        <f t="shared" si="69"/>
        <v/>
      </c>
      <c r="S127" s="42" t="str">
        <f t="shared" si="70"/>
        <v/>
      </c>
      <c r="T127" s="167" t="str">
        <f>IF(L127="","",VLOOKUP(L127,classifications!C:K,9,FALSE))</f>
        <v/>
      </c>
      <c r="U127" s="168" t="str">
        <f t="shared" si="71"/>
        <v/>
      </c>
      <c r="V127" s="174" t="str">
        <f>IF(U127="","",IF($I$8="A",(RANK(U127,U$11:U$343)+COUNTIF(U$11:U127,U127)-1),(RANK(U127,U$11:U$343,1)+COUNTIF(U$11:U127,U127)-1)))</f>
        <v/>
      </c>
      <c r="W127" s="175"/>
      <c r="X127" s="5" t="str">
        <f>IF(L127="","",VLOOKUP($L127,classifications!$C:$J,6,FALSE))</f>
        <v/>
      </c>
      <c r="Y127" t="str">
        <f t="shared" si="72"/>
        <v/>
      </c>
      <c r="Z127" s="40" t="str">
        <f>IF(Y127="","",IF(I$8="A",(RANK(Y127,Y$11:Y$343,1)+COUNTIF(Y$11:Y127,Y127)-1),(RANK(Y127,Y$11:Y$343)+COUNTIF(Y$11:Y127,Y127)-1)))</f>
        <v/>
      </c>
      <c r="AA127" s="180" t="str">
        <f>IF(L127="","",VLOOKUP($L127,classifications!C:I,7,FALSE))</f>
        <v/>
      </c>
      <c r="AB127" s="174" t="str">
        <f t="shared" si="73"/>
        <v/>
      </c>
      <c r="AC127" s="174" t="str">
        <f>IF(AB127="","",IF($I$8="A",(RANK(AB127,AB$11:AB$343)+COUNTIF(AB$11:AB127,AB127)-1),(RANK(AB127,AB$11:AB$343,1)+COUNTIF(AB$11:AB127,AB127)-1)))</f>
        <v/>
      </c>
      <c r="AD127" s="174"/>
      <c r="AE127" s="36" t="str">
        <f t="shared" si="74"/>
        <v/>
      </c>
      <c r="AG127" s="15"/>
      <c r="AH127" s="3"/>
      <c r="AI127" s="5" t="str">
        <f>IF(L127="","",VLOOKUP($L127,classifications!$C:$J,8,FALSE))</f>
        <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
      </c>
      <c r="AQ127" s="43" t="str">
        <f t="shared" si="79"/>
        <v/>
      </c>
      <c r="AR127" s="40" t="str">
        <f>IF(AQ127="","",IF(I$8="A",(RANK(AQ127,AQ$11:AQ$343,1)+COUNTIF(AQ$11:AQ127,AQ127)-1),(RANK(AQ127,AQ$11:AQ$343)+COUNTIF(AQ$11:AQ127,AQ127)-1)))</f>
        <v/>
      </c>
      <c r="AS127" s="3" t="str">
        <f t="shared" si="80"/>
        <v/>
      </c>
      <c r="AT127" s="40" t="str">
        <f t="shared" si="81"/>
        <v/>
      </c>
      <c r="AU127" s="43" t="str">
        <f t="shared" si="82"/>
        <v/>
      </c>
      <c r="AX127">
        <f>HLOOKUP($AX$9&amp;$AX$10,Data!$A$1:$ZZ$1980,(MATCH($C127,Data!$A$1:$A$1980,0)),FALSE)</f>
        <v>511.9</v>
      </c>
    </row>
    <row r="128" spans="1:50">
      <c r="A128" s="59" t="str">
        <f>$D$1&amp;118</f>
        <v>UA118</v>
      </c>
      <c r="B128" s="60">
        <f>IF(ISERROR(VLOOKUP(A130,classifications!A:C,3,FALSE)),0,VLOOKUP(A130,classifications!A:C,3,FALSE))</f>
        <v>0</v>
      </c>
      <c r="C128" t="s">
        <v>269</v>
      </c>
      <c r="D128" t="str">
        <f>VLOOKUP($C128,classifications!$C:$J,4,FALSE)</f>
        <v>UA</v>
      </c>
      <c r="E128">
        <f>VLOOKUP(C128,classifications!C:K,9,FALSE)</f>
        <v>0</v>
      </c>
      <c r="F128">
        <f t="shared" si="60"/>
        <v>598.9</v>
      </c>
      <c r="G128" s="15"/>
      <c r="H128" s="42">
        <f t="shared" si="61"/>
        <v>598.9</v>
      </c>
      <c r="I128" s="79">
        <f>IF(H128="","",IF($I$8="A",(RANK(H128,H$11:H$343,1)+COUNTIF(H$11:H128,H128)-1),(RANK(H128,H$11:H$343)+COUNTIF(H$11:H128,H128)-1)))</f>
        <v>50</v>
      </c>
      <c r="J128" s="41"/>
      <c r="K128" s="36" t="str">
        <f t="shared" si="62"/>
        <v/>
      </c>
      <c r="L128" t="str">
        <f t="shared" si="63"/>
        <v/>
      </c>
      <c r="M128" s="117" t="str">
        <f t="shared" si="64"/>
        <v/>
      </c>
      <c r="N128" s="112" t="str">
        <f t="shared" si="65"/>
        <v/>
      </c>
      <c r="O128" s="96" t="str">
        <f t="shared" si="66"/>
        <v/>
      </c>
      <c r="P128" s="96" t="str">
        <f t="shared" si="67"/>
        <v/>
      </c>
      <c r="Q128" s="96" t="str">
        <f t="shared" si="68"/>
        <v/>
      </c>
      <c r="R128" s="92" t="str">
        <f t="shared" si="69"/>
        <v/>
      </c>
      <c r="S128" s="42" t="str">
        <f t="shared" si="70"/>
        <v/>
      </c>
      <c r="T128" s="167" t="str">
        <f>IF(L128="","",VLOOKUP(L128,classifications!C:K,9,FALSE))</f>
        <v/>
      </c>
      <c r="U128" s="168" t="str">
        <f t="shared" si="71"/>
        <v/>
      </c>
      <c r="V128" s="174" t="str">
        <f>IF(U128="","",IF($I$8="A",(RANK(U128,U$11:U$343)+COUNTIF(U$11:U128,U128)-1),(RANK(U128,U$11:U$343,1)+COUNTIF(U$11:U128,U128)-1)))</f>
        <v/>
      </c>
      <c r="W128" s="175"/>
      <c r="X128" s="5" t="str">
        <f>IF(L128="","",VLOOKUP($L128,classifications!$C:$J,6,FALSE))</f>
        <v/>
      </c>
      <c r="Y128" t="str">
        <f t="shared" si="72"/>
        <v/>
      </c>
      <c r="Z128" s="40" t="str">
        <f>IF(Y128="","",IF(I$8="A",(RANK(Y128,Y$11:Y$343,1)+COUNTIF(Y$11:Y128,Y128)-1),(RANK(Y128,Y$11:Y$343)+COUNTIF(Y$11:Y128,Y128)-1)))</f>
        <v/>
      </c>
      <c r="AA128" s="180" t="str">
        <f>IF(L128="","",VLOOKUP($L128,classifications!C:I,7,FALSE))</f>
        <v/>
      </c>
      <c r="AB128" s="174" t="str">
        <f t="shared" si="73"/>
        <v/>
      </c>
      <c r="AC128" s="174" t="str">
        <f>IF(AB128="","",IF($I$8="A",(RANK(AB128,AB$11:AB$343)+COUNTIF(AB$11:AB128,AB128)-1),(RANK(AB128,AB$11:AB$343,1)+COUNTIF(AB$11:AB128,AB128)-1)))</f>
        <v/>
      </c>
      <c r="AD128" s="174"/>
      <c r="AE128" s="36" t="str">
        <f t="shared" si="74"/>
        <v/>
      </c>
      <c r="AG128" s="15"/>
      <c r="AH128" s="3"/>
      <c r="AI128" s="5" t="str">
        <f>IF(L128="","",VLOOKUP($L128,classifications!$C:$J,8,FALSE))</f>
        <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598.9</v>
      </c>
    </row>
    <row r="129" spans="1:50">
      <c r="A129" s="59" t="str">
        <f>$D$1&amp;119</f>
        <v>UA119</v>
      </c>
      <c r="B129" s="60">
        <f>IF(ISERROR(VLOOKUP(A131,classifications!A:C,3,FALSE)),0,VLOOKUP(A131,classifications!A:C,3,FALSE))</f>
        <v>0</v>
      </c>
      <c r="C129" t="s">
        <v>78</v>
      </c>
      <c r="D129" t="str">
        <f>VLOOKUP($C129,classifications!$C:$J,4,FALSE)</f>
        <v>SD</v>
      </c>
      <c r="E129" t="str">
        <f>VLOOKUP(C129,classifications!C:K,9,FALSE)</f>
        <v>Sparse</v>
      </c>
      <c r="F129">
        <f t="shared" si="60"/>
        <v>400.9</v>
      </c>
      <c r="G129" s="15"/>
      <c r="H129" s="42" t="str">
        <f t="shared" si="61"/>
        <v/>
      </c>
      <c r="I129" s="79" t="str">
        <f>IF(H129="","",IF($I$8="A",(RANK(H129,H$11:H$343,1)+COUNTIF(H$11:H129,H129)-1),(RANK(H129,H$11:H$343)+COUNTIF(H$11:H129,H129)-1)))</f>
        <v/>
      </c>
      <c r="J129" s="41"/>
      <c r="K129" s="36" t="str">
        <f t="shared" si="62"/>
        <v/>
      </c>
      <c r="L129" t="str">
        <f t="shared" si="63"/>
        <v/>
      </c>
      <c r="M129" s="117" t="str">
        <f t="shared" si="64"/>
        <v/>
      </c>
      <c r="N129" s="112" t="str">
        <f t="shared" si="65"/>
        <v/>
      </c>
      <c r="O129" s="96" t="str">
        <f t="shared" si="66"/>
        <v/>
      </c>
      <c r="P129" s="96" t="str">
        <f t="shared" si="67"/>
        <v/>
      </c>
      <c r="Q129" s="96" t="str">
        <f t="shared" si="68"/>
        <v/>
      </c>
      <c r="R129" s="92" t="str">
        <f t="shared" si="69"/>
        <v/>
      </c>
      <c r="S129" s="42" t="str">
        <f t="shared" si="70"/>
        <v/>
      </c>
      <c r="T129" s="167" t="str">
        <f>IF(L129="","",VLOOKUP(L129,classifications!C:K,9,FALSE))</f>
        <v/>
      </c>
      <c r="U129" s="168" t="str">
        <f t="shared" si="71"/>
        <v/>
      </c>
      <c r="V129" s="174" t="str">
        <f>IF(U129="","",IF($I$8="A",(RANK(U129,U$11:U$343)+COUNTIF(U$11:U129,U129)-1),(RANK(U129,U$11:U$343,1)+COUNTIF(U$11:U129,U129)-1)))</f>
        <v/>
      </c>
      <c r="W129" s="175"/>
      <c r="X129" s="5" t="str">
        <f>IF(L129="","",VLOOKUP($L129,classifications!$C:$J,6,FALSE))</f>
        <v/>
      </c>
      <c r="Y129" t="str">
        <f t="shared" si="72"/>
        <v/>
      </c>
      <c r="Z129" s="40" t="str">
        <f>IF(Y129="","",IF(I$8="A",(RANK(Y129,Y$11:Y$343,1)+COUNTIF(Y$11:Y129,Y129)-1),(RANK(Y129,Y$11:Y$343)+COUNTIF(Y$11:Y129,Y129)-1)))</f>
        <v/>
      </c>
      <c r="AA129" s="180" t="str">
        <f>IF(L129="","",VLOOKUP($L129,classifications!C:I,7,FALSE))</f>
        <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
      </c>
      <c r="AQ129" s="43" t="str">
        <f t="shared" si="79"/>
        <v/>
      </c>
      <c r="AR129" s="40" t="str">
        <f>IF(AQ129="","",IF(I$8="A",(RANK(AQ129,AQ$11:AQ$343,1)+COUNTIF(AQ$11:AQ129,AQ129)-1),(RANK(AQ129,AQ$11:AQ$343)+COUNTIF(AQ$11:AQ129,AQ129)-1)))</f>
        <v/>
      </c>
      <c r="AS129" s="3" t="str">
        <f t="shared" si="80"/>
        <v/>
      </c>
      <c r="AT129" s="40" t="str">
        <f t="shared" si="81"/>
        <v/>
      </c>
      <c r="AU129" s="43" t="str">
        <f t="shared" si="82"/>
        <v/>
      </c>
      <c r="AX129">
        <f>HLOOKUP($AX$9&amp;$AX$10,Data!$A$1:$ZZ$1980,(MATCH($C129,Data!$A$1:$A$1980,0)),FALSE)</f>
        <v>400.9</v>
      </c>
    </row>
    <row r="130" spans="1:50">
      <c r="A130" s="59" t="str">
        <f>$D$1&amp;120</f>
        <v>UA120</v>
      </c>
      <c r="B130" s="60">
        <f>IF(ISERROR(VLOOKUP(A132,classifications!A:C,3,FALSE)),0,VLOOKUP(A132,classifications!A:C,3,FALSE))</f>
        <v>0</v>
      </c>
      <c r="C130" t="s">
        <v>337</v>
      </c>
      <c r="D130" t="str">
        <f>VLOOKUP($C130,classifications!$C:$J,4,FALSE)</f>
        <v>L</v>
      </c>
      <c r="E130">
        <f>VLOOKUP(C130,classifications!C:K,9,FALSE)</f>
        <v>0</v>
      </c>
      <c r="F130">
        <f t="shared" si="60"/>
        <v>334.7</v>
      </c>
      <c r="G130" s="15"/>
      <c r="H130" s="42" t="str">
        <f t="shared" si="61"/>
        <v/>
      </c>
      <c r="I130" s="79" t="str">
        <f>IF(H130="","",IF($I$8="A",(RANK(H130,H$11:H$343,1)+COUNTIF(H$11:H130,H130)-1),(RANK(H130,H$11:H$343)+COUNTIF(H$11:H130,H130)-1)))</f>
        <v/>
      </c>
      <c r="J130" s="41"/>
      <c r="K130" s="36" t="str">
        <f t="shared" si="62"/>
        <v/>
      </c>
      <c r="L130" t="str">
        <f t="shared" si="63"/>
        <v/>
      </c>
      <c r="M130" s="117" t="str">
        <f t="shared" si="64"/>
        <v/>
      </c>
      <c r="N130" s="112" t="str">
        <f t="shared" si="65"/>
        <v/>
      </c>
      <c r="O130" s="96" t="str">
        <f t="shared" si="66"/>
        <v/>
      </c>
      <c r="P130" s="96" t="str">
        <f t="shared" si="67"/>
        <v/>
      </c>
      <c r="Q130" s="96" t="str">
        <f t="shared" si="68"/>
        <v/>
      </c>
      <c r="R130" s="92" t="str">
        <f t="shared" si="69"/>
        <v/>
      </c>
      <c r="S130" s="42" t="str">
        <f t="shared" si="70"/>
        <v/>
      </c>
      <c r="T130" s="167" t="str">
        <f>IF(L130="","",VLOOKUP(L130,classifications!C:K,9,FALSE))</f>
        <v/>
      </c>
      <c r="U130" s="168" t="str">
        <f t="shared" si="71"/>
        <v/>
      </c>
      <c r="V130" s="174" t="str">
        <f>IF(U130="","",IF($I$8="A",(RANK(U130,U$11:U$343)+COUNTIF(U$11:U130,U130)-1),(RANK(U130,U$11:U$343,1)+COUNTIF(U$11:U130,U130)-1)))</f>
        <v/>
      </c>
      <c r="W130" s="175"/>
      <c r="X130" s="5" t="str">
        <f>IF(L130="","",VLOOKUP($L130,classifications!$C:$J,6,FALSE))</f>
        <v/>
      </c>
      <c r="Y130" t="str">
        <f t="shared" si="72"/>
        <v/>
      </c>
      <c r="Z130" s="40" t="str">
        <f>IF(Y130="","",IF(I$8="A",(RANK(Y130,Y$11:Y$343,1)+COUNTIF(Y$11:Y130,Y130)-1),(RANK(Y130,Y$11:Y$343)+COUNTIF(Y$11:Y130,Y130)-1)))</f>
        <v/>
      </c>
      <c r="AA130" s="180" t="str">
        <f>IF(L130="","",VLOOKUP($L130,classifications!C:I,7,FALSE))</f>
        <v/>
      </c>
      <c r="AB130" s="174" t="str">
        <f t="shared" si="73"/>
        <v/>
      </c>
      <c r="AC130" s="174" t="str">
        <f>IF(AB130="","",IF($I$8="A",(RANK(AB130,AB$11:AB$343)+COUNTIF(AB$11:AB130,AB130)-1),(RANK(AB130,AB$11:AB$343,1)+COUNTIF(AB$11:AB130,AB130)-1)))</f>
        <v/>
      </c>
      <c r="AD130" s="174"/>
      <c r="AE130" s="36" t="str">
        <f t="shared" si="74"/>
        <v/>
      </c>
      <c r="AG130" s="15"/>
      <c r="AH130" s="3"/>
      <c r="AI130" s="5" t="str">
        <f>IF(L130="","",VLOOKUP($L130,classifications!$C:$J,8,FALSE))</f>
        <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
      </c>
      <c r="AQ130" s="43" t="str">
        <f t="shared" si="79"/>
        <v/>
      </c>
      <c r="AR130" s="40" t="str">
        <f>IF(AQ130="","",IF(I$8="A",(RANK(AQ130,AQ$11:AQ$343,1)+COUNTIF(AQ$11:AQ130,AQ130)-1),(RANK(AQ130,AQ$11:AQ$343)+COUNTIF(AQ$11:AQ130,AQ130)-1)))</f>
        <v/>
      </c>
      <c r="AS130" s="3" t="str">
        <f t="shared" si="80"/>
        <v/>
      </c>
      <c r="AT130" s="40" t="str">
        <f t="shared" si="81"/>
        <v/>
      </c>
      <c r="AU130" s="43" t="str">
        <f t="shared" si="82"/>
        <v/>
      </c>
      <c r="AX130">
        <f>HLOOKUP($AX$9&amp;$AX$10,Data!$A$1:$ZZ$1980,(MATCH($C130,Data!$A$1:$A$1980,0)),FALSE)</f>
        <v>334.7</v>
      </c>
    </row>
    <row r="131" spans="1:50">
      <c r="A131" s="59" t="str">
        <f>$D$1&amp;121</f>
        <v>UA121</v>
      </c>
      <c r="B131" s="60">
        <f>IF(ISERROR(VLOOKUP(A133,classifications!A:C,3,FALSE)),0,VLOOKUP(A133,classifications!A:C,3,FALSE))</f>
        <v>0</v>
      </c>
      <c r="C131" t="s">
        <v>314</v>
      </c>
      <c r="D131" t="str">
        <f>VLOOKUP($C131,classifications!$C:$J,4,FALSE)</f>
        <v>SC</v>
      </c>
      <c r="E131" t="str">
        <f>VLOOKUP(C131,classifications!C:K,9,FALSE)</f>
        <v>Sparse</v>
      </c>
      <c r="F131">
        <f t="shared" si="60"/>
        <v>557.29999999999995</v>
      </c>
      <c r="G131" s="15"/>
      <c r="H131" s="42" t="str">
        <f t="shared" si="61"/>
        <v/>
      </c>
      <c r="I131" s="79" t="str">
        <f>IF(H131="","",IF($I$8="A",(RANK(H131,H$11:H$343,1)+COUNTIF(H$11:H131,H131)-1),(RANK(H131,H$11:H$343)+COUNTIF(H$11:H131,H131)-1)))</f>
        <v/>
      </c>
      <c r="J131" s="41"/>
      <c r="K131" s="36" t="str">
        <f t="shared" si="62"/>
        <v/>
      </c>
      <c r="L131" t="str">
        <f t="shared" si="63"/>
        <v/>
      </c>
      <c r="M131" s="117" t="str">
        <f t="shared" si="64"/>
        <v/>
      </c>
      <c r="N131" s="112" t="str">
        <f t="shared" si="65"/>
        <v/>
      </c>
      <c r="O131" s="96" t="str">
        <f t="shared" si="66"/>
        <v/>
      </c>
      <c r="P131" s="96" t="str">
        <f t="shared" si="67"/>
        <v/>
      </c>
      <c r="Q131" s="96" t="str">
        <f t="shared" si="68"/>
        <v/>
      </c>
      <c r="R131" s="92" t="str">
        <f t="shared" si="69"/>
        <v/>
      </c>
      <c r="S131" s="42" t="str">
        <f t="shared" si="70"/>
        <v/>
      </c>
      <c r="T131" s="167" t="str">
        <f>IF(L131="","",VLOOKUP(L131,classifications!C:K,9,FALSE))</f>
        <v/>
      </c>
      <c r="U131" s="168" t="str">
        <f t="shared" si="71"/>
        <v/>
      </c>
      <c r="V131" s="174" t="str">
        <f>IF(U131="","",IF($I$8="A",(RANK(U131,U$11:U$343)+COUNTIF(U$11:U131,U131)-1),(RANK(U131,U$11:U$343,1)+COUNTIF(U$11:U131,U131)-1)))</f>
        <v/>
      </c>
      <c r="W131" s="175"/>
      <c r="X131" s="5" t="str">
        <f>IF(L131="","",VLOOKUP($L131,classifications!$C:$J,6,FALSE))</f>
        <v/>
      </c>
      <c r="Y131" t="str">
        <f t="shared" si="72"/>
        <v/>
      </c>
      <c r="Z131" s="40" t="str">
        <f>IF(Y131="","",IF(I$8="A",(RANK(Y131,Y$11:Y$343,1)+COUNTIF(Y$11:Y131,Y131)-1),(RANK(Y131,Y$11:Y$343)+COUNTIF(Y$11:Y131,Y131)-1)))</f>
        <v/>
      </c>
      <c r="AA131" s="180" t="str">
        <f>IF(L131="","",VLOOKUP($L131,classifications!C:I,7,FALSE))</f>
        <v/>
      </c>
      <c r="AB131" s="174" t="str">
        <f t="shared" si="73"/>
        <v/>
      </c>
      <c r="AC131" s="174" t="str">
        <f>IF(AB131="","",IF($I$8="A",(RANK(AB131,AB$11:AB$343)+COUNTIF(AB$11:AB131,AB131)-1),(RANK(AB131,AB$11:AB$343,1)+COUNTIF(AB$11:AB131,AB131)-1)))</f>
        <v/>
      </c>
      <c r="AD131" s="174"/>
      <c r="AE131" s="36" t="str">
        <f t="shared" si="74"/>
        <v/>
      </c>
      <c r="AG131" s="15"/>
      <c r="AH131" s="3"/>
      <c r="AI131" s="5" t="str">
        <f>IF(L131="","",VLOOKUP($L131,classifications!$C:$J,8,FALSE))</f>
        <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557.29999999999995</v>
      </c>
    </row>
    <row r="132" spans="1:50">
      <c r="A132" s="59" t="str">
        <f>$D$1&amp;122</f>
        <v>UA122</v>
      </c>
      <c r="B132" s="60">
        <f>IF(ISERROR(VLOOKUP(A134,classifications!A:C,3,FALSE)),0,VLOOKUP(A134,classifications!A:C,3,FALSE))</f>
        <v>0</v>
      </c>
      <c r="C132" t="s">
        <v>79</v>
      </c>
      <c r="D132" t="str">
        <f>VLOOKUP($C132,classifications!$C:$J,4,FALSE)</f>
        <v>SD</v>
      </c>
      <c r="E132" t="str">
        <f>VLOOKUP(C132,classifications!C:K,9,FALSE)</f>
        <v>Sparse</v>
      </c>
      <c r="F132">
        <f t="shared" si="60"/>
        <v>464.8</v>
      </c>
      <c r="G132" s="15"/>
      <c r="H132" s="42" t="str">
        <f t="shared" si="61"/>
        <v/>
      </c>
      <c r="I132" s="79" t="str">
        <f>IF(H132="","",IF($I$8="A",(RANK(H132,H$11:H$343,1)+COUNTIF(H$11:H132,H132)-1),(RANK(H132,H$11:H$343)+COUNTIF(H$11:H132,H132)-1)))</f>
        <v/>
      </c>
      <c r="J132" s="41"/>
      <c r="K132" s="36" t="str">
        <f t="shared" si="62"/>
        <v/>
      </c>
      <c r="L132" t="str">
        <f t="shared" si="63"/>
        <v/>
      </c>
      <c r="M132" s="117" t="str">
        <f t="shared" si="64"/>
        <v/>
      </c>
      <c r="N132" s="112" t="str">
        <f t="shared" si="65"/>
        <v/>
      </c>
      <c r="O132" s="96" t="str">
        <f t="shared" si="66"/>
        <v/>
      </c>
      <c r="P132" s="96" t="str">
        <f t="shared" si="67"/>
        <v/>
      </c>
      <c r="Q132" s="96" t="str">
        <f t="shared" si="68"/>
        <v/>
      </c>
      <c r="R132" s="92" t="str">
        <f t="shared" si="69"/>
        <v/>
      </c>
      <c r="S132" s="42" t="str">
        <f t="shared" si="70"/>
        <v/>
      </c>
      <c r="T132" s="167" t="str">
        <f>IF(L132="","",VLOOKUP(L132,classifications!C:K,9,FALSE))</f>
        <v/>
      </c>
      <c r="U132" s="168" t="str">
        <f t="shared" si="71"/>
        <v/>
      </c>
      <c r="V132" s="174" t="str">
        <f>IF(U132="","",IF($I$8="A",(RANK(U132,U$11:U$343)+COUNTIF(U$11:U132,U132)-1),(RANK(U132,U$11:U$343,1)+COUNTIF(U$11:U132,U132)-1)))</f>
        <v/>
      </c>
      <c r="W132" s="175"/>
      <c r="X132" s="5" t="str">
        <f>IF(L132="","",VLOOKUP($L132,classifications!$C:$J,6,FALSE))</f>
        <v/>
      </c>
      <c r="Y132" t="str">
        <f t="shared" si="72"/>
        <v/>
      </c>
      <c r="Z132" s="40" t="str">
        <f>IF(Y132="","",IF(I$8="A",(RANK(Y132,Y$11:Y$343,1)+COUNTIF(Y$11:Y132,Y132)-1),(RANK(Y132,Y$11:Y$343)+COUNTIF(Y$11:Y132,Y132)-1)))</f>
        <v/>
      </c>
      <c r="AA132" s="180" t="str">
        <f>IF(L132="","",VLOOKUP($L132,classifications!C:I,7,FALSE))</f>
        <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
      </c>
      <c r="AQ132" s="43" t="str">
        <f t="shared" si="79"/>
        <v/>
      </c>
      <c r="AR132" s="40" t="str">
        <f>IF(AQ132="","",IF(I$8="A",(RANK(AQ132,AQ$11:AQ$343,1)+COUNTIF(AQ$11:AQ132,AQ132)-1),(RANK(AQ132,AQ$11:AQ$343)+COUNTIF(AQ$11:AQ132,AQ132)-1)))</f>
        <v/>
      </c>
      <c r="AS132" s="3" t="str">
        <f t="shared" si="80"/>
        <v/>
      </c>
      <c r="AT132" s="40" t="str">
        <f t="shared" si="81"/>
        <v/>
      </c>
      <c r="AU132" s="43" t="str">
        <f t="shared" si="82"/>
        <v/>
      </c>
      <c r="AX132">
        <f>HLOOKUP($AX$9&amp;$AX$10,Data!$A$1:$ZZ$1980,(MATCH($C132,Data!$A$1:$A$1980,0)),FALSE)</f>
        <v>464.8</v>
      </c>
    </row>
    <row r="133" spans="1:50">
      <c r="A133" s="59" t="str">
        <f>$D$1&amp;123</f>
        <v>UA123</v>
      </c>
      <c r="B133" s="60">
        <f>IF(ISERROR(VLOOKUP(A135,classifications!A:C,3,FALSE)),0,VLOOKUP(A135,classifications!A:C,3,FALSE))</f>
        <v>0</v>
      </c>
      <c r="C133" t="s">
        <v>207</v>
      </c>
      <c r="D133" t="str">
        <f>VLOOKUP($C133,classifications!$C:$J,4,FALSE)</f>
        <v>L</v>
      </c>
      <c r="E133">
        <f>VLOOKUP(C133,classifications!C:K,9,FALSE)</f>
        <v>0</v>
      </c>
      <c r="F133">
        <f t="shared" si="60"/>
        <v>522.70000000000005</v>
      </c>
      <c r="G133" s="15"/>
      <c r="H133" s="42" t="str">
        <f t="shared" si="61"/>
        <v/>
      </c>
      <c r="I133" s="79" t="str">
        <f>IF(H133="","",IF($I$8="A",(RANK(H133,H$11:H$343,1)+COUNTIF(H$11:H133,H133)-1),(RANK(H133,H$11:H$343)+COUNTIF(H$11:H133,H133)-1)))</f>
        <v/>
      </c>
      <c r="J133" s="41"/>
      <c r="K133" s="36" t="str">
        <f t="shared" si="62"/>
        <v/>
      </c>
      <c r="L133" t="str">
        <f t="shared" si="63"/>
        <v/>
      </c>
      <c r="M133" s="117" t="str">
        <f t="shared" si="64"/>
        <v/>
      </c>
      <c r="N133" s="112" t="str">
        <f t="shared" si="65"/>
        <v/>
      </c>
      <c r="O133" s="96" t="str">
        <f t="shared" si="66"/>
        <v/>
      </c>
      <c r="P133" s="96" t="str">
        <f t="shared" si="67"/>
        <v/>
      </c>
      <c r="Q133" s="96" t="str">
        <f t="shared" si="68"/>
        <v/>
      </c>
      <c r="R133" s="92" t="str">
        <f t="shared" si="69"/>
        <v/>
      </c>
      <c r="S133" s="42" t="str">
        <f t="shared" si="70"/>
        <v/>
      </c>
      <c r="T133" s="167" t="str">
        <f>IF(L133="","",VLOOKUP(L133,classifications!C:K,9,FALSE))</f>
        <v/>
      </c>
      <c r="U133" s="168" t="str">
        <f t="shared" si="71"/>
        <v/>
      </c>
      <c r="V133" s="174" t="str">
        <f>IF(U133="","",IF($I$8="A",(RANK(U133,U$11:U$343)+COUNTIF(U$11:U133,U133)-1),(RANK(U133,U$11:U$343,1)+COUNTIF(U$11:U133,U133)-1)))</f>
        <v/>
      </c>
      <c r="W133" s="175"/>
      <c r="X133" s="5" t="str">
        <f>IF(L133="","",VLOOKUP($L133,classifications!$C:$J,6,FALSE))</f>
        <v/>
      </c>
      <c r="Y133" t="str">
        <f t="shared" si="72"/>
        <v/>
      </c>
      <c r="Z133" s="40" t="str">
        <f>IF(Y133="","",IF(I$8="A",(RANK(Y133,Y$11:Y$343,1)+COUNTIF(Y$11:Y133,Y133)-1),(RANK(Y133,Y$11:Y$343)+COUNTIF(Y$11:Y133,Y133)-1)))</f>
        <v/>
      </c>
      <c r="AA133" s="180" t="str">
        <f>IF(L133="","",VLOOKUP($L133,classifications!C:I,7,FALSE))</f>
        <v/>
      </c>
      <c r="AB133" s="174" t="str">
        <f t="shared" si="73"/>
        <v/>
      </c>
      <c r="AC133" s="174" t="str">
        <f>IF(AB133="","",IF($I$8="A",(RANK(AB133,AB$11:AB$343)+COUNTIF(AB$11:AB133,AB133)-1),(RANK(AB133,AB$11:AB$343,1)+COUNTIF(AB$11:AB133,AB133)-1)))</f>
        <v/>
      </c>
      <c r="AD133" s="174"/>
      <c r="AE133" s="36" t="str">
        <f t="shared" si="74"/>
        <v/>
      </c>
      <c r="AG133" s="15"/>
      <c r="AH133" s="3"/>
      <c r="AI133" s="5" t="str">
        <f>IF(L133="","",VLOOKUP($L133,classifications!$C:$J,8,FALSE))</f>
        <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
      </c>
      <c r="AQ133" s="43" t="str">
        <f t="shared" si="79"/>
        <v/>
      </c>
      <c r="AR133" s="40" t="str">
        <f>IF(AQ133="","",IF(I$8="A",(RANK(AQ133,AQ$11:AQ$343,1)+COUNTIF(AQ$11:AQ133,AQ133)-1),(RANK(AQ133,AQ$11:AQ$343)+COUNTIF(AQ$11:AQ133,AQ133)-1)))</f>
        <v/>
      </c>
      <c r="AS133" s="3" t="str">
        <f t="shared" si="80"/>
        <v/>
      </c>
      <c r="AT133" s="40" t="str">
        <f t="shared" si="81"/>
        <v/>
      </c>
      <c r="AU133" s="43" t="str">
        <f t="shared" si="82"/>
        <v/>
      </c>
      <c r="AX133">
        <f>HLOOKUP($AX$9&amp;$AX$10,Data!$A$1:$ZZ$1980,(MATCH($C133,Data!$A$1:$A$1980,0)),FALSE)</f>
        <v>522.70000000000005</v>
      </c>
    </row>
    <row r="134" spans="1:50">
      <c r="A134" s="59" t="str">
        <f>$D$1&amp;124</f>
        <v>UA124</v>
      </c>
      <c r="B134" s="60">
        <f>IF(ISERROR(VLOOKUP(A136,classifications!A:C,3,FALSE)),0,VLOOKUP(A136,classifications!A:C,3,FALSE))</f>
        <v>0</v>
      </c>
      <c r="C134" t="s">
        <v>80</v>
      </c>
      <c r="D134" t="str">
        <f>VLOOKUP($C134,classifications!$C:$J,4,FALSE)</f>
        <v>SD</v>
      </c>
      <c r="E134">
        <f>VLOOKUP(C134,classifications!C:K,9,FALSE)</f>
        <v>0</v>
      </c>
      <c r="F134">
        <f t="shared" si="60"/>
        <v>427.7</v>
      </c>
      <c r="G134" s="15"/>
      <c r="H134" s="42" t="str">
        <f t="shared" si="61"/>
        <v/>
      </c>
      <c r="I134" s="79" t="str">
        <f>IF(H134="","",IF($I$8="A",(RANK(H134,H$11:H$343,1)+COUNTIF(H$11:H134,H134)-1),(RANK(H134,H$11:H$343)+COUNTIF(H$11:H134,H134)-1)))</f>
        <v/>
      </c>
      <c r="J134" s="41"/>
      <c r="K134" s="36" t="str">
        <f t="shared" si="62"/>
        <v/>
      </c>
      <c r="L134" t="str">
        <f t="shared" si="63"/>
        <v/>
      </c>
      <c r="M134" s="117" t="str">
        <f t="shared" si="64"/>
        <v/>
      </c>
      <c r="N134" s="112" t="str">
        <f t="shared" si="65"/>
        <v/>
      </c>
      <c r="O134" s="96" t="str">
        <f t="shared" si="66"/>
        <v/>
      </c>
      <c r="P134" s="96" t="str">
        <f t="shared" si="67"/>
        <v/>
      </c>
      <c r="Q134" s="96" t="str">
        <f t="shared" si="68"/>
        <v/>
      </c>
      <c r="R134" s="92" t="str">
        <f t="shared" si="69"/>
        <v/>
      </c>
      <c r="S134" s="42" t="str">
        <f t="shared" si="70"/>
        <v/>
      </c>
      <c r="T134" s="167" t="str">
        <f>IF(L134="","",VLOOKUP(L134,classifications!C:K,9,FALSE))</f>
        <v/>
      </c>
      <c r="U134" s="168" t="str">
        <f t="shared" si="71"/>
        <v/>
      </c>
      <c r="V134" s="174" t="str">
        <f>IF(U134="","",IF($I$8="A",(RANK(U134,U$11:U$343)+COUNTIF(U$11:U134,U134)-1),(RANK(U134,U$11:U$343,1)+COUNTIF(U$11:U134,U134)-1)))</f>
        <v/>
      </c>
      <c r="W134" s="175"/>
      <c r="X134" s="5" t="str">
        <f>IF(L134="","",VLOOKUP($L134,classifications!$C:$J,6,FALSE))</f>
        <v/>
      </c>
      <c r="Y134" t="str">
        <f t="shared" si="72"/>
        <v/>
      </c>
      <c r="Z134" s="40" t="str">
        <f>IF(Y134="","",IF(I$8="A",(RANK(Y134,Y$11:Y$343,1)+COUNTIF(Y$11:Y134,Y134)-1),(RANK(Y134,Y$11:Y$343)+COUNTIF(Y$11:Y134,Y134)-1)))</f>
        <v/>
      </c>
      <c r="AA134" s="180" t="str">
        <f>IF(L134="","",VLOOKUP($L134,classifications!C:I,7,FALSE))</f>
        <v/>
      </c>
      <c r="AB134" s="174" t="str">
        <f t="shared" si="73"/>
        <v/>
      </c>
      <c r="AC134" s="174" t="str">
        <f>IF(AB134="","",IF($I$8="A",(RANK(AB134,AB$11:AB$343)+COUNTIF(AB$11:AB134,AB134)-1),(RANK(AB134,AB$11:AB$343,1)+COUNTIF(AB$11:AB134,AB134)-1)))</f>
        <v/>
      </c>
      <c r="AD134" s="174"/>
      <c r="AE134" s="36" t="str">
        <f t="shared" si="74"/>
        <v/>
      </c>
      <c r="AG134" s="15"/>
      <c r="AH134" s="3"/>
      <c r="AI134" s="5" t="str">
        <f>IF(L134="","",VLOOKUP($L134,classifications!$C:$J,8,FALSE))</f>
        <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
      </c>
      <c r="AQ134" s="43" t="str">
        <f t="shared" si="79"/>
        <v/>
      </c>
      <c r="AR134" s="40" t="str">
        <f>IF(AQ134="","",IF(I$8="A",(RANK(AQ134,AQ$11:AQ$343,1)+COUNTIF(AQ$11:AQ134,AQ134)-1),(RANK(AQ134,AQ$11:AQ$343)+COUNTIF(AQ$11:AQ134,AQ134)-1)))</f>
        <v/>
      </c>
      <c r="AS134" s="3" t="str">
        <f t="shared" si="80"/>
        <v/>
      </c>
      <c r="AT134" s="40" t="str">
        <f t="shared" si="81"/>
        <v/>
      </c>
      <c r="AU134" s="43" t="str">
        <f t="shared" si="82"/>
        <v/>
      </c>
      <c r="AX134">
        <f>HLOOKUP($AX$9&amp;$AX$10,Data!$A$1:$ZZ$1980,(MATCH($C134,Data!$A$1:$A$1980,0)),FALSE)</f>
        <v>427.7</v>
      </c>
    </row>
    <row r="135" spans="1:50">
      <c r="A135" s="59" t="str">
        <f>$D$1&amp;125</f>
        <v>UA125</v>
      </c>
      <c r="B135" s="60">
        <f>IF(ISERROR(VLOOKUP(A137,classifications!A:C,3,FALSE)),0,VLOOKUP(A137,classifications!A:C,3,FALSE))</f>
        <v>0</v>
      </c>
      <c r="C135" t="s">
        <v>81</v>
      </c>
      <c r="D135" t="str">
        <f>VLOOKUP($C135,classifications!$C:$J,4,FALSE)</f>
        <v>SD</v>
      </c>
      <c r="E135" t="str">
        <f>VLOOKUP(C135,classifications!C:K,9,FALSE)</f>
        <v>Sparse</v>
      </c>
      <c r="F135">
        <f t="shared" si="60"/>
        <v>396.7</v>
      </c>
      <c r="G135" s="15"/>
      <c r="H135" s="42" t="str">
        <f t="shared" si="61"/>
        <v/>
      </c>
      <c r="I135" s="79" t="str">
        <f>IF(H135="","",IF($I$8="A",(RANK(H135,H$11:H$343,1)+COUNTIF(H$11:H135,H135)-1),(RANK(H135,H$11:H$343)+COUNTIF(H$11:H135,H135)-1)))</f>
        <v/>
      </c>
      <c r="J135" s="41"/>
      <c r="K135" s="36" t="str">
        <f t="shared" si="62"/>
        <v/>
      </c>
      <c r="L135" t="str">
        <f t="shared" si="63"/>
        <v/>
      </c>
      <c r="M135" s="117" t="str">
        <f t="shared" si="64"/>
        <v/>
      </c>
      <c r="N135" s="112" t="str">
        <f t="shared" si="65"/>
        <v/>
      </c>
      <c r="O135" s="96" t="str">
        <f t="shared" si="66"/>
        <v/>
      </c>
      <c r="P135" s="96" t="str">
        <f t="shared" si="67"/>
        <v/>
      </c>
      <c r="Q135" s="96" t="str">
        <f t="shared" si="68"/>
        <v/>
      </c>
      <c r="R135" s="92" t="str">
        <f t="shared" si="69"/>
        <v/>
      </c>
      <c r="S135" s="42" t="str">
        <f t="shared" si="70"/>
        <v/>
      </c>
      <c r="T135" s="167" t="str">
        <f>IF(L135="","",VLOOKUP(L135,classifications!C:K,9,FALSE))</f>
        <v/>
      </c>
      <c r="U135" s="168" t="str">
        <f t="shared" si="71"/>
        <v/>
      </c>
      <c r="V135" s="174" t="str">
        <f>IF(U135="","",IF($I$8="A",(RANK(U135,U$11:U$343)+COUNTIF(U$11:U135,U135)-1),(RANK(U135,U$11:U$343,1)+COUNTIF(U$11:U135,U135)-1)))</f>
        <v/>
      </c>
      <c r="W135" s="175"/>
      <c r="X135" s="5" t="str">
        <f>IF(L135="","",VLOOKUP($L135,classifications!$C:$J,6,FALSE))</f>
        <v/>
      </c>
      <c r="Y135" t="str">
        <f t="shared" si="72"/>
        <v/>
      </c>
      <c r="Z135" s="40" t="str">
        <f>IF(Y135="","",IF(I$8="A",(RANK(Y135,Y$11:Y$343,1)+COUNTIF(Y$11:Y135,Y135)-1),(RANK(Y135,Y$11:Y$343)+COUNTIF(Y$11:Y135,Y135)-1)))</f>
        <v/>
      </c>
      <c r="AA135" s="180" t="str">
        <f>IF(L135="","",VLOOKUP($L135,classifications!C:I,7,FALSE))</f>
        <v/>
      </c>
      <c r="AB135" s="174" t="str">
        <f t="shared" si="73"/>
        <v/>
      </c>
      <c r="AC135" s="174" t="str">
        <f>IF(AB135="","",IF($I$8="A",(RANK(AB135,AB$11:AB$343)+COUNTIF(AB$11:AB135,AB135)-1),(RANK(AB135,AB$11:AB$343,1)+COUNTIF(AB$11:AB135,AB135)-1)))</f>
        <v/>
      </c>
      <c r="AD135" s="174"/>
      <c r="AE135" s="36" t="str">
        <f t="shared" si="74"/>
        <v/>
      </c>
      <c r="AG135" s="15"/>
      <c r="AH135" s="3"/>
      <c r="AI135" s="5" t="str">
        <f>IF(L135="","",VLOOKUP($L135,classifications!$C:$J,8,FALSE))</f>
        <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
      </c>
      <c r="AQ135" s="43" t="str">
        <f t="shared" si="79"/>
        <v/>
      </c>
      <c r="AR135" s="40" t="str">
        <f>IF(AQ135="","",IF(I$8="A",(RANK(AQ135,AQ$11:AQ$343,1)+COUNTIF(AQ$11:AQ135,AQ135)-1),(RANK(AQ135,AQ$11:AQ$343)+COUNTIF(AQ$11:AQ135,AQ135)-1)))</f>
        <v/>
      </c>
      <c r="AS135" s="3" t="str">
        <f t="shared" si="80"/>
        <v/>
      </c>
      <c r="AT135" s="40" t="str">
        <f t="shared" si="81"/>
        <v/>
      </c>
      <c r="AU135" s="43" t="str">
        <f t="shared" si="82"/>
        <v/>
      </c>
      <c r="AX135">
        <f>HLOOKUP($AX$9&amp;$AX$10,Data!$A$1:$ZZ$1980,(MATCH($C135,Data!$A$1:$A$1980,0)),FALSE)</f>
        <v>396.7</v>
      </c>
    </row>
    <row r="136" spans="1:50">
      <c r="A136" s="59" t="str">
        <f>$D$1&amp;126</f>
        <v>UA126</v>
      </c>
      <c r="B136" s="60">
        <f>IF(ISERROR(VLOOKUP(A138,classifications!A:C,3,FALSE)),0,VLOOKUP(A138,classifications!A:C,3,FALSE))</f>
        <v>0</v>
      </c>
      <c r="C136" t="s">
        <v>208</v>
      </c>
      <c r="D136" t="str">
        <f>VLOOKUP($C136,classifications!$C:$J,4,FALSE)</f>
        <v>L</v>
      </c>
      <c r="E136">
        <f>VLOOKUP(C136,classifications!C:K,9,FALSE)</f>
        <v>0</v>
      </c>
      <c r="F136">
        <f t="shared" si="60"/>
        <v>678.8</v>
      </c>
      <c r="G136" s="15"/>
      <c r="H136" s="42" t="str">
        <f t="shared" si="61"/>
        <v/>
      </c>
      <c r="I136" s="79" t="str">
        <f>IF(H136="","",IF($I$8="A",(RANK(H136,H$11:H$343,1)+COUNTIF(H$11:H136,H136)-1),(RANK(H136,H$11:H$343)+COUNTIF(H$11:H136,H136)-1)))</f>
        <v/>
      </c>
      <c r="J136" s="41"/>
      <c r="K136" s="36" t="str">
        <f t="shared" si="62"/>
        <v/>
      </c>
      <c r="L136" t="str">
        <f t="shared" si="63"/>
        <v/>
      </c>
      <c r="M136" s="117" t="str">
        <f t="shared" si="64"/>
        <v/>
      </c>
      <c r="N136" s="112" t="str">
        <f t="shared" si="65"/>
        <v/>
      </c>
      <c r="O136" s="96" t="str">
        <f t="shared" si="66"/>
        <v/>
      </c>
      <c r="P136" s="96" t="str">
        <f t="shared" si="67"/>
        <v/>
      </c>
      <c r="Q136" s="96" t="str">
        <f t="shared" si="68"/>
        <v/>
      </c>
      <c r="R136" s="92" t="str">
        <f t="shared" si="69"/>
        <v/>
      </c>
      <c r="S136" s="42" t="str">
        <f t="shared" si="70"/>
        <v/>
      </c>
      <c r="T136" s="167" t="str">
        <f>IF(L136="","",VLOOKUP(L136,classifications!C:K,9,FALSE))</f>
        <v/>
      </c>
      <c r="U136" s="168" t="str">
        <f t="shared" si="71"/>
        <v/>
      </c>
      <c r="V136" s="174" t="str">
        <f>IF(U136="","",IF($I$8="A",(RANK(U136,U$11:U$343)+COUNTIF(U$11:U136,U136)-1),(RANK(U136,U$11:U$343,1)+COUNTIF(U$11:U136,U136)-1)))</f>
        <v/>
      </c>
      <c r="W136" s="175"/>
      <c r="X136" s="5" t="str">
        <f>IF(L136="","",VLOOKUP($L136,classifications!$C:$J,6,FALSE))</f>
        <v/>
      </c>
      <c r="Y136" t="str">
        <f t="shared" si="72"/>
        <v/>
      </c>
      <c r="Z136" s="40" t="str">
        <f>IF(Y136="","",IF(I$8="A",(RANK(Y136,Y$11:Y$343,1)+COUNTIF(Y$11:Y136,Y136)-1),(RANK(Y136,Y$11:Y$343)+COUNTIF(Y$11:Y136,Y136)-1)))</f>
        <v/>
      </c>
      <c r="AA136" s="180" t="str">
        <f>IF(L136="","",VLOOKUP($L136,classifications!C:I,7,FALSE))</f>
        <v/>
      </c>
      <c r="AB136" s="174" t="str">
        <f t="shared" si="73"/>
        <v/>
      </c>
      <c r="AC136" s="174" t="str">
        <f>IF(AB136="","",IF($I$8="A",(RANK(AB136,AB$11:AB$343)+COUNTIF(AB$11:AB136,AB136)-1),(RANK(AB136,AB$11:AB$343,1)+COUNTIF(AB$11:AB136,AB136)-1)))</f>
        <v/>
      </c>
      <c r="AD136" s="174"/>
      <c r="AE136" s="36" t="str">
        <f t="shared" si="74"/>
        <v/>
      </c>
      <c r="AG136" s="15"/>
      <c r="AH136" s="3"/>
      <c r="AI136" s="5" t="str">
        <f>IF(L136="","",VLOOKUP($L136,classifications!$C:$J,8,FALSE))</f>
        <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
      </c>
      <c r="AQ136" s="43" t="str">
        <f t="shared" si="79"/>
        <v/>
      </c>
      <c r="AR136" s="40" t="str">
        <f>IF(AQ136="","",IF(I$8="A",(RANK(AQ136,AQ$11:AQ$343,1)+COUNTIF(AQ$11:AQ136,AQ136)-1),(RANK(AQ136,AQ$11:AQ$343)+COUNTIF(AQ$11:AQ136,AQ136)-1)))</f>
        <v/>
      </c>
      <c r="AS136" s="3" t="str">
        <f t="shared" si="80"/>
        <v/>
      </c>
      <c r="AT136" s="40" t="str">
        <f t="shared" si="81"/>
        <v/>
      </c>
      <c r="AU136" s="43" t="str">
        <f t="shared" si="82"/>
        <v/>
      </c>
      <c r="AX136">
        <f>HLOOKUP($AX$9&amp;$AX$10,Data!$A$1:$ZZ$1980,(MATCH($C136,Data!$A$1:$A$1980,0)),FALSE)</f>
        <v>678.8</v>
      </c>
    </row>
    <row r="137" spans="1:50">
      <c r="A137" s="59" t="str">
        <f>$D$1&amp;127</f>
        <v>UA127</v>
      </c>
      <c r="B137" s="60">
        <f>IF(ISERROR(VLOOKUP(A139,classifications!A:C,3,FALSE)),0,VLOOKUP(A139,classifications!A:C,3,FALSE))</f>
        <v>0</v>
      </c>
      <c r="C137" t="s">
        <v>82</v>
      </c>
      <c r="D137" t="str">
        <f>VLOOKUP($C137,classifications!$C:$J,4,FALSE)</f>
        <v>SD</v>
      </c>
      <c r="E137">
        <f>VLOOKUP(C137,classifications!C:K,9,FALSE)</f>
        <v>0</v>
      </c>
      <c r="F137">
        <f t="shared" si="60"/>
        <v>464.1</v>
      </c>
      <c r="G137" s="15"/>
      <c r="H137" s="42" t="str">
        <f t="shared" si="61"/>
        <v/>
      </c>
      <c r="I137" s="79" t="str">
        <f>IF(H137="","",IF($I$8="A",(RANK(H137,H$11:H$343,1)+COUNTIF(H$11:H137,H137)-1),(RANK(H137,H$11:H$343)+COUNTIF(H$11:H137,H137)-1)))</f>
        <v/>
      </c>
      <c r="J137" s="41"/>
      <c r="K137" s="36" t="str">
        <f t="shared" si="62"/>
        <v/>
      </c>
      <c r="L137" t="str">
        <f t="shared" si="63"/>
        <v/>
      </c>
      <c r="M137" s="117" t="str">
        <f t="shared" si="64"/>
        <v/>
      </c>
      <c r="N137" s="112" t="str">
        <f t="shared" si="65"/>
        <v/>
      </c>
      <c r="O137" s="96" t="str">
        <f t="shared" si="66"/>
        <v/>
      </c>
      <c r="P137" s="96" t="str">
        <f t="shared" si="67"/>
        <v/>
      </c>
      <c r="Q137" s="96" t="str">
        <f t="shared" si="68"/>
        <v/>
      </c>
      <c r="R137" s="92" t="str">
        <f t="shared" si="69"/>
        <v/>
      </c>
      <c r="S137" s="42" t="str">
        <f t="shared" si="70"/>
        <v/>
      </c>
      <c r="T137" s="167" t="str">
        <f>IF(L137="","",VLOOKUP(L137,classifications!C:K,9,FALSE))</f>
        <v/>
      </c>
      <c r="U137" s="168" t="str">
        <f t="shared" si="71"/>
        <v/>
      </c>
      <c r="V137" s="174" t="str">
        <f>IF(U137="","",IF($I$8="A",(RANK(U137,U$11:U$343)+COUNTIF(U$11:U137,U137)-1),(RANK(U137,U$11:U$343,1)+COUNTIF(U$11:U137,U137)-1)))</f>
        <v/>
      </c>
      <c r="W137" s="175"/>
      <c r="X137" s="5" t="str">
        <f>IF(L137="","",VLOOKUP($L137,classifications!$C:$J,6,FALSE))</f>
        <v/>
      </c>
      <c r="Y137" t="str">
        <f t="shared" si="72"/>
        <v/>
      </c>
      <c r="Z137" s="40" t="str">
        <f>IF(Y137="","",IF(I$8="A",(RANK(Y137,Y$11:Y$343,1)+COUNTIF(Y$11:Y137,Y137)-1),(RANK(Y137,Y$11:Y$343)+COUNTIF(Y$11:Y137,Y137)-1)))</f>
        <v/>
      </c>
      <c r="AA137" s="180" t="str">
        <f>IF(L137="","",VLOOKUP($L137,classifications!C:I,7,FALSE))</f>
        <v/>
      </c>
      <c r="AB137" s="174" t="str">
        <f t="shared" si="73"/>
        <v/>
      </c>
      <c r="AC137" s="174" t="str">
        <f>IF(AB137="","",IF($I$8="A",(RANK(AB137,AB$11:AB$343)+COUNTIF(AB$11:AB137,AB137)-1),(RANK(AB137,AB$11:AB$343,1)+COUNTIF(AB$11:AB137,AB137)-1)))</f>
        <v/>
      </c>
      <c r="AD137" s="174"/>
      <c r="AE137" s="36" t="str">
        <f t="shared" si="74"/>
        <v/>
      </c>
      <c r="AG137" s="15"/>
      <c r="AH137" s="3"/>
      <c r="AI137" s="5" t="str">
        <f>IF(L137="","",VLOOKUP($L137,classifications!$C:$J,8,FALSE))</f>
        <v/>
      </c>
      <c r="AJ137" s="43" t="str">
        <f t="shared" si="75"/>
        <v/>
      </c>
      <c r="AK137" s="40" t="str">
        <f>IF(AJ137="","",IF(I$8="A",(RANK(AJ137,AJ$11:AJ$343,1)+COUNTIF(AJ$11:AJ137,AJ137)-1),(RANK(AJ137,AJ$11:AJ$343)+COUNTIF(AJ$11:AJ137,AJ137)-1)))</f>
        <v/>
      </c>
      <c r="AL137" s="3" t="str">
        <f t="shared" si="76"/>
        <v/>
      </c>
      <c r="AM137" t="str">
        <f t="shared" si="77"/>
        <v/>
      </c>
      <c r="AN137" t="str">
        <f t="shared" si="78"/>
        <v/>
      </c>
      <c r="AP137" s="5" t="str">
        <f>IF(L137="","",VLOOKUP($L137,classifications!$C:$E,3,FALSE))</f>
        <v/>
      </c>
      <c r="AQ137" s="43" t="str">
        <f t="shared" si="79"/>
        <v/>
      </c>
      <c r="AR137" s="40" t="str">
        <f>IF(AQ137="","",IF(I$8="A",(RANK(AQ137,AQ$11:AQ$343,1)+COUNTIF(AQ$11:AQ137,AQ137)-1),(RANK(AQ137,AQ$11:AQ$343)+COUNTIF(AQ$11:AQ137,AQ137)-1)))</f>
        <v/>
      </c>
      <c r="AS137" s="3" t="str">
        <f t="shared" si="80"/>
        <v/>
      </c>
      <c r="AT137" s="40" t="str">
        <f t="shared" si="81"/>
        <v/>
      </c>
      <c r="AU137" s="43" t="str">
        <f t="shared" si="82"/>
        <v/>
      </c>
      <c r="AX137">
        <f>HLOOKUP($AX$9&amp;$AX$10,Data!$A$1:$ZZ$1980,(MATCH($C137,Data!$A$1:$A$1980,0)),FALSE)</f>
        <v>464.1</v>
      </c>
    </row>
    <row r="138" spans="1:50">
      <c r="A138" s="59" t="str">
        <f>$D$1&amp;128</f>
        <v>UA128</v>
      </c>
      <c r="B138" s="60">
        <f>IF(ISERROR(VLOOKUP(A140,classifications!A:C,3,FALSE)),0,VLOOKUP(A140,classifications!A:C,3,FALSE))</f>
        <v>0</v>
      </c>
      <c r="C138" t="s">
        <v>270</v>
      </c>
      <c r="D138" t="str">
        <f>VLOOKUP($C138,classifications!$C:$J,4,FALSE)</f>
        <v>UA</v>
      </c>
      <c r="E138">
        <f>VLOOKUP(C138,classifications!C:K,9,FALSE)</f>
        <v>0</v>
      </c>
      <c r="F138">
        <f t="shared" si="60"/>
        <v>572.9</v>
      </c>
      <c r="G138" s="15"/>
      <c r="H138" s="42">
        <f t="shared" si="61"/>
        <v>572.9</v>
      </c>
      <c r="I138" s="79">
        <f>IF(H138="","",IF($I$8="A",(RANK(H138,H$11:H$343,1)+COUNTIF(H$11:H138,H138)-1),(RANK(H138,H$11:H$343)+COUNTIF(H$11:H138,H138)-1)))</f>
        <v>44</v>
      </c>
      <c r="J138" s="41"/>
      <c r="K138" s="36" t="str">
        <f t="shared" si="62"/>
        <v/>
      </c>
      <c r="L138" t="str">
        <f t="shared" si="63"/>
        <v/>
      </c>
      <c r="M138" s="117" t="str">
        <f t="shared" si="64"/>
        <v/>
      </c>
      <c r="N138" s="112" t="str">
        <f t="shared" si="65"/>
        <v/>
      </c>
      <c r="O138" s="96" t="str">
        <f t="shared" si="66"/>
        <v/>
      </c>
      <c r="P138" s="96" t="str">
        <f t="shared" si="67"/>
        <v/>
      </c>
      <c r="Q138" s="96" t="str">
        <f t="shared" si="68"/>
        <v/>
      </c>
      <c r="R138" s="92" t="str">
        <f t="shared" si="69"/>
        <v/>
      </c>
      <c r="S138" s="42" t="str">
        <f t="shared" si="70"/>
        <v/>
      </c>
      <c r="T138" s="167" t="str">
        <f>IF(L138="","",VLOOKUP(L138,classifications!C:K,9,FALSE))</f>
        <v/>
      </c>
      <c r="U138" s="168" t="str">
        <f t="shared" si="71"/>
        <v/>
      </c>
      <c r="V138" s="174" t="str">
        <f>IF(U138="","",IF($I$8="A",(RANK(U138,U$11:U$343)+COUNTIF(U$11:U138,U138)-1),(RANK(U138,U$11:U$343,1)+COUNTIF(U$11:U138,U138)-1)))</f>
        <v/>
      </c>
      <c r="W138" s="175"/>
      <c r="X138" s="5" t="str">
        <f>IF(L138="","",VLOOKUP($L138,classifications!$C:$J,6,FALSE))</f>
        <v/>
      </c>
      <c r="Y138" t="str">
        <f t="shared" si="72"/>
        <v/>
      </c>
      <c r="Z138" s="40" t="str">
        <f>IF(Y138="","",IF(I$8="A",(RANK(Y138,Y$11:Y$343,1)+COUNTIF(Y$11:Y138,Y138)-1),(RANK(Y138,Y$11:Y$343)+COUNTIF(Y$11:Y138,Y138)-1)))</f>
        <v/>
      </c>
      <c r="AA138" s="180" t="str">
        <f>IF(L138="","",VLOOKUP($L138,classifications!C:I,7,FALSE))</f>
        <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572.9</v>
      </c>
    </row>
    <row r="139" spans="1:50">
      <c r="A139" s="59" t="str">
        <f>$D$1&amp;129</f>
        <v>UA129</v>
      </c>
      <c r="B139" s="60">
        <f>IF(ISERROR(VLOOKUP(A141,classifications!A:C,3,FALSE)),0,VLOOKUP(A141,classifications!A:C,3,FALSE))</f>
        <v>0</v>
      </c>
      <c r="C139" t="s">
        <v>83</v>
      </c>
      <c r="D139" t="str">
        <f>VLOOKUP($C139,classifications!$C:$J,4,FALSE)</f>
        <v>SD</v>
      </c>
      <c r="E139">
        <f>VLOOKUP(C139,classifications!C:K,9,FALSE)</f>
        <v>0</v>
      </c>
      <c r="F139">
        <f t="shared" si="60"/>
        <v>484.9</v>
      </c>
      <c r="G139" s="15"/>
      <c r="H139" s="42" t="str">
        <f t="shared" si="61"/>
        <v/>
      </c>
      <c r="I139" s="79" t="str">
        <f>IF(H139="","",IF($I$8="A",(RANK(H139,H$11:H$343,1)+COUNTIF(H$11:H139,H139)-1),(RANK(H139,H$11:H$343)+COUNTIF(H$11:H139,H139)-1)))</f>
        <v/>
      </c>
      <c r="J139" s="41"/>
      <c r="K139" s="36" t="str">
        <f t="shared" si="62"/>
        <v/>
      </c>
      <c r="L139" t="str">
        <f t="shared" si="63"/>
        <v/>
      </c>
      <c r="M139" s="117" t="str">
        <f t="shared" si="64"/>
        <v/>
      </c>
      <c r="N139" s="112" t="str">
        <f t="shared" si="65"/>
        <v/>
      </c>
      <c r="O139" s="96" t="str">
        <f t="shared" si="66"/>
        <v/>
      </c>
      <c r="P139" s="96" t="str">
        <f t="shared" si="67"/>
        <v/>
      </c>
      <c r="Q139" s="96" t="str">
        <f t="shared" si="68"/>
        <v/>
      </c>
      <c r="R139" s="92" t="str">
        <f t="shared" si="69"/>
        <v/>
      </c>
      <c r="S139" s="42" t="str">
        <f t="shared" si="70"/>
        <v/>
      </c>
      <c r="T139" s="167" t="str">
        <f>IF(L139="","",VLOOKUP(L139,classifications!C:K,9,FALSE))</f>
        <v/>
      </c>
      <c r="U139" s="168" t="str">
        <f t="shared" si="71"/>
        <v/>
      </c>
      <c r="V139" s="174" t="str">
        <f>IF(U139="","",IF($I$8="A",(RANK(U139,U$11:U$343)+COUNTIF(U$11:U139,U139)-1),(RANK(U139,U$11:U$343,1)+COUNTIF(U$11:U139,U139)-1)))</f>
        <v/>
      </c>
      <c r="W139" s="175"/>
      <c r="X139" s="5" t="str">
        <f>IF(L139="","",VLOOKUP($L139,classifications!$C:$J,6,FALSE))</f>
        <v/>
      </c>
      <c r="Y139" t="str">
        <f t="shared" si="72"/>
        <v/>
      </c>
      <c r="Z139" s="40" t="str">
        <f>IF(Y139="","",IF(I$8="A",(RANK(Y139,Y$11:Y$343,1)+COUNTIF(Y$11:Y139,Y139)-1),(RANK(Y139,Y$11:Y$343)+COUNTIF(Y$11:Y139,Y139)-1)))</f>
        <v/>
      </c>
      <c r="AA139" s="180" t="str">
        <f>IF(L139="","",VLOOKUP($L139,classifications!C:I,7,FALSE))</f>
        <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
      </c>
      <c r="AQ139" s="43" t="str">
        <f t="shared" si="79"/>
        <v/>
      </c>
      <c r="AR139" s="40" t="str">
        <f>IF(AQ139="","",IF(I$8="A",(RANK(AQ139,AQ$11:AQ$343,1)+COUNTIF(AQ$11:AQ139,AQ139)-1),(RANK(AQ139,AQ$11:AQ$343)+COUNTIF(AQ$11:AQ139,AQ139)-1)))</f>
        <v/>
      </c>
      <c r="AS139" s="3" t="str">
        <f t="shared" si="80"/>
        <v/>
      </c>
      <c r="AT139" s="40" t="str">
        <f t="shared" si="81"/>
        <v/>
      </c>
      <c r="AU139" s="43" t="str">
        <f t="shared" si="82"/>
        <v/>
      </c>
      <c r="AX139">
        <f>HLOOKUP($AX$9&amp;$AX$10,Data!$A$1:$ZZ$1980,(MATCH($C139,Data!$A$1:$A$1980,0)),FALSE)</f>
        <v>484.9</v>
      </c>
    </row>
    <row r="140" spans="1:50">
      <c r="A140" s="59" t="str">
        <f>$D$1&amp;130</f>
        <v>UA130</v>
      </c>
      <c r="B140" s="60">
        <f>IF(ISERROR(VLOOKUP(A142,classifications!A:C,3,FALSE)),0,VLOOKUP(A142,classifications!A:C,3,FALSE))</f>
        <v>0</v>
      </c>
      <c r="C140" t="s">
        <v>84</v>
      </c>
      <c r="D140" t="str">
        <f>VLOOKUP($C140,classifications!$C:$J,4,FALSE)</f>
        <v>SD</v>
      </c>
      <c r="E140">
        <f>VLOOKUP(C140,classifications!C:K,9,FALSE)</f>
        <v>0</v>
      </c>
      <c r="F140">
        <f t="shared" si="60"/>
        <v>511.9</v>
      </c>
      <c r="G140" s="15"/>
      <c r="H140" s="42" t="str">
        <f t="shared" si="61"/>
        <v/>
      </c>
      <c r="I140" s="79" t="str">
        <f>IF(H140="","",IF($I$8="A",(RANK(H140,H$11:H$343,1)+COUNTIF(H$11:H140,H140)-1),(RANK(H140,H$11:H$343)+COUNTIF(H$11:H140,H140)-1)))</f>
        <v/>
      </c>
      <c r="J140" s="41"/>
      <c r="K140" s="36" t="str">
        <f t="shared" si="62"/>
        <v/>
      </c>
      <c r="L140" t="str">
        <f t="shared" si="63"/>
        <v/>
      </c>
      <c r="M140" s="117" t="str">
        <f t="shared" si="64"/>
        <v/>
      </c>
      <c r="N140" s="112" t="str">
        <f t="shared" si="65"/>
        <v/>
      </c>
      <c r="O140" s="96" t="str">
        <f t="shared" si="66"/>
        <v/>
      </c>
      <c r="P140" s="96" t="str">
        <f t="shared" si="67"/>
        <v/>
      </c>
      <c r="Q140" s="96" t="str">
        <f t="shared" si="68"/>
        <v/>
      </c>
      <c r="R140" s="92" t="str">
        <f t="shared" si="69"/>
        <v/>
      </c>
      <c r="S140" s="42" t="str">
        <f t="shared" si="70"/>
        <v/>
      </c>
      <c r="T140" s="167" t="str">
        <f>IF(L140="","",VLOOKUP(L140,classifications!C:K,9,FALSE))</f>
        <v/>
      </c>
      <c r="U140" s="168" t="str">
        <f t="shared" si="71"/>
        <v/>
      </c>
      <c r="V140" s="174" t="str">
        <f>IF(U140="","",IF($I$8="A",(RANK(U140,U$11:U$343)+COUNTIF(U$11:U140,U140)-1),(RANK(U140,U$11:U$343,1)+COUNTIF(U$11:U140,U140)-1)))</f>
        <v/>
      </c>
      <c r="W140" s="175"/>
      <c r="X140" s="5" t="str">
        <f>IF(L140="","",VLOOKUP($L140,classifications!$C:$J,6,FALSE))</f>
        <v/>
      </c>
      <c r="Y140" t="str">
        <f t="shared" si="72"/>
        <v/>
      </c>
      <c r="Z140" s="40" t="str">
        <f>IF(Y140="","",IF(I$8="A",(RANK(Y140,Y$11:Y$343,1)+COUNTIF(Y$11:Y140,Y140)-1),(RANK(Y140,Y$11:Y$343)+COUNTIF(Y$11:Y140,Y140)-1)))</f>
        <v/>
      </c>
      <c r="AA140" s="180" t="str">
        <f>IF(L140="","",VLOOKUP($L140,classifications!C:I,7,FALSE))</f>
        <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
      </c>
      <c r="AQ140" s="43" t="str">
        <f t="shared" si="79"/>
        <v/>
      </c>
      <c r="AR140" s="40" t="str">
        <f>IF(AQ140="","",IF(I$8="A",(RANK(AQ140,AQ$11:AQ$343,1)+COUNTIF(AQ$11:AQ140,AQ140)-1),(RANK(AQ140,AQ$11:AQ$343)+COUNTIF(AQ$11:AQ140,AQ140)-1)))</f>
        <v/>
      </c>
      <c r="AS140" s="3" t="str">
        <f t="shared" si="80"/>
        <v/>
      </c>
      <c r="AT140" s="40" t="str">
        <f t="shared" si="81"/>
        <v/>
      </c>
      <c r="AU140" s="43" t="str">
        <f t="shared" si="82"/>
        <v/>
      </c>
      <c r="AX140">
        <f>HLOOKUP($AX$9&amp;$AX$10,Data!$A$1:$ZZ$1980,(MATCH($C140,Data!$A$1:$A$1980,0)),FALSE)</f>
        <v>511.9</v>
      </c>
    </row>
    <row r="141" spans="1:50">
      <c r="A141" s="59" t="str">
        <f>$D$1&amp;131</f>
        <v>UA131</v>
      </c>
      <c r="B141" s="60">
        <f>IF(ISERROR(VLOOKUP(A143,classifications!A:C,3,FALSE)),0,VLOOKUP(A143,classifications!A:C,3,FALSE))</f>
        <v>0</v>
      </c>
      <c r="C141" t="s">
        <v>209</v>
      </c>
      <c r="D141" t="str">
        <f>VLOOKUP($C141,classifications!$C:$J,4,FALSE)</f>
        <v>L</v>
      </c>
      <c r="E141">
        <f>VLOOKUP(C141,classifications!C:K,9,FALSE)</f>
        <v>0</v>
      </c>
      <c r="F141">
        <f t="shared" si="60"/>
        <v>609.9</v>
      </c>
      <c r="G141" s="15"/>
      <c r="H141" s="42" t="str">
        <f t="shared" si="61"/>
        <v/>
      </c>
      <c r="I141" s="79" t="str">
        <f>IF(H141="","",IF($I$8="A",(RANK(H141,H$11:H$343,1)+COUNTIF(H$11:H141,H141)-1),(RANK(H141,H$11:H$343)+COUNTIF(H$11:H141,H141)-1)))</f>
        <v/>
      </c>
      <c r="J141" s="41"/>
      <c r="K141" s="36" t="str">
        <f t="shared" si="62"/>
        <v/>
      </c>
      <c r="L141" t="str">
        <f t="shared" si="63"/>
        <v/>
      </c>
      <c r="M141" s="117" t="str">
        <f t="shared" si="64"/>
        <v/>
      </c>
      <c r="N141" s="112" t="str">
        <f t="shared" si="65"/>
        <v/>
      </c>
      <c r="O141" s="96" t="str">
        <f t="shared" si="66"/>
        <v/>
      </c>
      <c r="P141" s="96" t="str">
        <f t="shared" si="67"/>
        <v/>
      </c>
      <c r="Q141" s="96" t="str">
        <f t="shared" si="68"/>
        <v/>
      </c>
      <c r="R141" s="92" t="str">
        <f t="shared" si="69"/>
        <v/>
      </c>
      <c r="S141" s="42" t="str">
        <f t="shared" si="70"/>
        <v/>
      </c>
      <c r="T141" s="167" t="str">
        <f>IF(L141="","",VLOOKUP(L141,classifications!C:K,9,FALSE))</f>
        <v/>
      </c>
      <c r="U141" s="168" t="str">
        <f t="shared" si="71"/>
        <v/>
      </c>
      <c r="V141" s="174" t="str">
        <f>IF(U141="","",IF($I$8="A",(RANK(U141,U$11:U$343)+COUNTIF(U$11:U141,U141)-1),(RANK(U141,U$11:U$343,1)+COUNTIF(U$11:U141,U141)-1)))</f>
        <v/>
      </c>
      <c r="W141" s="175"/>
      <c r="X141" s="5" t="str">
        <f>IF(L141="","",VLOOKUP($L141,classifications!$C:$J,6,FALSE))</f>
        <v/>
      </c>
      <c r="Y141" t="str">
        <f t="shared" si="72"/>
        <v/>
      </c>
      <c r="Z141" s="40" t="str">
        <f>IF(Y141="","",IF(I$8="A",(RANK(Y141,Y$11:Y$343,1)+COUNTIF(Y$11:Y141,Y141)-1),(RANK(Y141,Y$11:Y$343)+COUNTIF(Y$11:Y141,Y141)-1)))</f>
        <v/>
      </c>
      <c r="AA141" s="180" t="str">
        <f>IF(L141="","",VLOOKUP($L141,classifications!C:I,7,FALSE))</f>
        <v/>
      </c>
      <c r="AB141" s="174" t="str">
        <f t="shared" si="73"/>
        <v/>
      </c>
      <c r="AC141" s="174" t="str">
        <f>IF(AB141="","",IF($I$8="A",(RANK(AB141,AB$11:AB$343)+COUNTIF(AB$11:AB141,AB141)-1),(RANK(AB141,AB$11:AB$343,1)+COUNTIF(AB$11:AB141,AB141)-1)))</f>
        <v/>
      </c>
      <c r="AD141" s="174"/>
      <c r="AE141" s="36" t="str">
        <f t="shared" si="74"/>
        <v/>
      </c>
      <c r="AG141" s="15"/>
      <c r="AH141" s="3"/>
      <c r="AI141" s="5" t="str">
        <f>IF(L141="","",VLOOKUP($L141,classifications!$C:$J,8,FALSE))</f>
        <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
      </c>
      <c r="AQ141" s="43" t="str">
        <f t="shared" si="79"/>
        <v/>
      </c>
      <c r="AR141" s="40" t="str">
        <f>IF(AQ141="","",IF(I$8="A",(RANK(AQ141,AQ$11:AQ$343,1)+COUNTIF(AQ$11:AQ141,AQ141)-1),(RANK(AQ141,AQ$11:AQ$343)+COUNTIF(AQ$11:AQ141,AQ141)-1)))</f>
        <v/>
      </c>
      <c r="AS141" s="3" t="str">
        <f t="shared" si="80"/>
        <v/>
      </c>
      <c r="AT141" s="40" t="str">
        <f t="shared" si="81"/>
        <v/>
      </c>
      <c r="AU141" s="43" t="str">
        <f t="shared" si="82"/>
        <v/>
      </c>
      <c r="AX141">
        <f>HLOOKUP($AX$9&amp;$AX$10,Data!$A$1:$ZZ$1980,(MATCH($C141,Data!$A$1:$A$1980,0)),FALSE)</f>
        <v>609.9</v>
      </c>
    </row>
    <row r="142" spans="1:50">
      <c r="A142" s="59" t="str">
        <f>$D$1&amp;132</f>
        <v>UA132</v>
      </c>
      <c r="B142" s="60">
        <f>IF(ISERROR(VLOOKUP(A144,classifications!A:C,3,FALSE)),0,VLOOKUP(A144,classifications!A:C,3,FALSE))</f>
        <v>0</v>
      </c>
      <c r="C142" t="s">
        <v>818</v>
      </c>
      <c r="D142" t="str">
        <f>VLOOKUP($C142,classifications!$C:$J,4,FALSE)</f>
        <v>UA</v>
      </c>
      <c r="E142" t="str">
        <f>VLOOKUP(C142,classifications!C:K,9,FALSE)</f>
        <v>Sparse</v>
      </c>
      <c r="F142">
        <f t="shared" si="60"/>
        <v>481.2</v>
      </c>
      <c r="G142" s="15"/>
      <c r="H142" s="42">
        <f t="shared" si="61"/>
        <v>481.2</v>
      </c>
      <c r="I142" s="79">
        <f>IF(H142="","",IF($I$8="A",(RANK(H142,H$11:H$343,1)+COUNTIF(H$11:H142,H142)-1),(RANK(H142,H$11:H$343)+COUNTIF(H$11:H142,H142)-1)))</f>
        <v>18</v>
      </c>
      <c r="J142" s="41"/>
      <c r="K142" s="36" t="str">
        <f t="shared" si="62"/>
        <v/>
      </c>
      <c r="L142" t="str">
        <f t="shared" si="63"/>
        <v/>
      </c>
      <c r="M142" s="117" t="str">
        <f t="shared" si="64"/>
        <v/>
      </c>
      <c r="N142" s="112" t="str">
        <f t="shared" si="65"/>
        <v/>
      </c>
      <c r="O142" s="96" t="str">
        <f t="shared" si="66"/>
        <v/>
      </c>
      <c r="P142" s="96" t="str">
        <f t="shared" si="67"/>
        <v/>
      </c>
      <c r="Q142" s="96" t="str">
        <f t="shared" si="68"/>
        <v/>
      </c>
      <c r="R142" s="92" t="str">
        <f t="shared" si="69"/>
        <v/>
      </c>
      <c r="S142" s="42" t="str">
        <f t="shared" si="70"/>
        <v/>
      </c>
      <c r="T142" s="167" t="str">
        <f>IF(L142="","",VLOOKUP(L142,classifications!C:K,9,FALSE))</f>
        <v/>
      </c>
      <c r="U142" s="168" t="str">
        <f t="shared" si="71"/>
        <v/>
      </c>
      <c r="V142" s="174" t="str">
        <f>IF(U142="","",IF($I$8="A",(RANK(U142,U$11:U$343)+COUNTIF(U$11:U142,U142)-1),(RANK(U142,U$11:U$343,1)+COUNTIF(U$11:U142,U142)-1)))</f>
        <v/>
      </c>
      <c r="W142" s="175"/>
      <c r="X142" s="5" t="str">
        <f>IF(L142="","",VLOOKUP($L142,classifications!$C:$J,6,FALSE))</f>
        <v/>
      </c>
      <c r="Y142" t="str">
        <f t="shared" si="72"/>
        <v/>
      </c>
      <c r="Z142" s="40" t="str">
        <f>IF(Y142="","",IF(I$8="A",(RANK(Y142,Y$11:Y$343,1)+COUNTIF(Y$11:Y142,Y142)-1),(RANK(Y142,Y$11:Y$343)+COUNTIF(Y$11:Y142,Y142)-1)))</f>
        <v/>
      </c>
      <c r="AA142" s="180" t="str">
        <f>IF(L142="","",VLOOKUP($L142,classifications!C:I,7,FALSE))</f>
        <v/>
      </c>
      <c r="AB142" s="174" t="str">
        <f t="shared" si="73"/>
        <v/>
      </c>
      <c r="AC142" s="174" t="str">
        <f>IF(AB142="","",IF($I$8="A",(RANK(AB142,AB$11:AB$343)+COUNTIF(AB$11:AB142,AB142)-1),(RANK(AB142,AB$11:AB$343,1)+COUNTIF(AB$11:AB142,AB142)-1)))</f>
        <v/>
      </c>
      <c r="AD142" s="174"/>
      <c r="AE142" s="36" t="str">
        <f t="shared" si="74"/>
        <v/>
      </c>
      <c r="AG142" s="15"/>
      <c r="AH142" s="3"/>
      <c r="AI142" s="5" t="str">
        <f>IF(L142="","",VLOOKUP($L142,classifications!$C:$J,8,FALSE))</f>
        <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481.2</v>
      </c>
    </row>
    <row r="143" spans="1:50">
      <c r="A143" s="59" t="str">
        <f>$D$1&amp;133</f>
        <v>UA133</v>
      </c>
      <c r="B143" s="60">
        <f>IF(ISERROR(VLOOKUP(A145,classifications!A:C,3,FALSE)),0,VLOOKUP(A145,classifications!A:C,3,FALSE))</f>
        <v>0</v>
      </c>
      <c r="C143" t="s">
        <v>315</v>
      </c>
      <c r="D143" t="str">
        <f>VLOOKUP($C143,classifications!$C:$J,4,FALSE)</f>
        <v>SC</v>
      </c>
      <c r="E143">
        <f>VLOOKUP(C143,classifications!C:K,9,FALSE)</f>
        <v>0</v>
      </c>
      <c r="F143">
        <f t="shared" si="60"/>
        <v>449.7</v>
      </c>
      <c r="G143" s="15"/>
      <c r="H143" s="42" t="str">
        <f t="shared" si="61"/>
        <v/>
      </c>
      <c r="I143" s="79" t="str">
        <f>IF(H143="","",IF($I$8="A",(RANK(H143,H$11:H$343,1)+COUNTIF(H$11:H143,H143)-1),(RANK(H143,H$11:H$343)+COUNTIF(H$11:H143,H143)-1)))</f>
        <v/>
      </c>
      <c r="J143" s="41"/>
      <c r="K143" s="36" t="str">
        <f t="shared" si="62"/>
        <v/>
      </c>
      <c r="L143" t="str">
        <f t="shared" si="63"/>
        <v/>
      </c>
      <c r="M143" s="117" t="str">
        <f t="shared" si="64"/>
        <v/>
      </c>
      <c r="N143" s="112" t="str">
        <f t="shared" si="65"/>
        <v/>
      </c>
      <c r="O143" s="96" t="str">
        <f t="shared" si="66"/>
        <v/>
      </c>
      <c r="P143" s="96" t="str">
        <f t="shared" si="67"/>
        <v/>
      </c>
      <c r="Q143" s="96" t="str">
        <f t="shared" si="68"/>
        <v/>
      </c>
      <c r="R143" s="92" t="str">
        <f t="shared" si="69"/>
        <v/>
      </c>
      <c r="S143" s="42" t="str">
        <f t="shared" si="70"/>
        <v/>
      </c>
      <c r="T143" s="167" t="str">
        <f>IF(L143="","",VLOOKUP(L143,classifications!C:K,9,FALSE))</f>
        <v/>
      </c>
      <c r="U143" s="168" t="str">
        <f t="shared" si="71"/>
        <v/>
      </c>
      <c r="V143" s="174" t="str">
        <f>IF(U143="","",IF($I$8="A",(RANK(U143,U$11:U$343)+COUNTIF(U$11:U143,U143)-1),(RANK(U143,U$11:U$343,1)+COUNTIF(U$11:U143,U143)-1)))</f>
        <v/>
      </c>
      <c r="W143" s="175"/>
      <c r="X143" s="5" t="str">
        <f>IF(L143="","",VLOOKUP($L143,classifications!$C:$J,6,FALSE))</f>
        <v/>
      </c>
      <c r="Y143" t="str">
        <f t="shared" si="72"/>
        <v/>
      </c>
      <c r="Z143" s="40" t="str">
        <f>IF(Y143="","",IF(I$8="A",(RANK(Y143,Y$11:Y$343,1)+COUNTIF(Y$11:Y143,Y143)-1),(RANK(Y143,Y$11:Y$343)+COUNTIF(Y$11:Y143,Y143)-1)))</f>
        <v/>
      </c>
      <c r="AA143" s="180" t="str">
        <f>IF(L143="","",VLOOKUP($L143,classifications!C:I,7,FALSE))</f>
        <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449.7</v>
      </c>
    </row>
    <row r="144" spans="1:50">
      <c r="A144" s="59" t="str">
        <f>$D$1&amp;134</f>
        <v>UA134</v>
      </c>
      <c r="B144" s="60">
        <f>IF(ISERROR(VLOOKUP(A146,classifications!A:C,3,FALSE)),0,VLOOKUP(A146,classifications!A:C,3,FALSE))</f>
        <v>0</v>
      </c>
      <c r="C144" t="s">
        <v>85</v>
      </c>
      <c r="D144" t="str">
        <f>VLOOKUP($C144,classifications!$C:$J,4,FALSE)</f>
        <v>SD</v>
      </c>
      <c r="E144">
        <f>VLOOKUP(C144,classifications!C:K,9,FALSE)</f>
        <v>0</v>
      </c>
      <c r="F144">
        <f t="shared" si="60"/>
        <v>462.9</v>
      </c>
      <c r="G144" s="15"/>
      <c r="H144" s="42" t="str">
        <f t="shared" si="61"/>
        <v/>
      </c>
      <c r="I144" s="79" t="str">
        <f>IF(H144="","",IF($I$8="A",(RANK(H144,H$11:H$343,1)+COUNTIF(H$11:H144,H144)-1),(RANK(H144,H$11:H$343)+COUNTIF(H$11:H144,H144)-1)))</f>
        <v/>
      </c>
      <c r="J144" s="41"/>
      <c r="K144" s="36" t="str">
        <f t="shared" si="62"/>
        <v/>
      </c>
      <c r="L144" t="str">
        <f t="shared" si="63"/>
        <v/>
      </c>
      <c r="M144" s="117" t="str">
        <f t="shared" si="64"/>
        <v/>
      </c>
      <c r="N144" s="112" t="str">
        <f t="shared" si="65"/>
        <v/>
      </c>
      <c r="O144" s="96" t="str">
        <f t="shared" si="66"/>
        <v/>
      </c>
      <c r="P144" s="96" t="str">
        <f t="shared" si="67"/>
        <v/>
      </c>
      <c r="Q144" s="96" t="str">
        <f t="shared" si="68"/>
        <v/>
      </c>
      <c r="R144" s="92" t="str">
        <f t="shared" si="69"/>
        <v/>
      </c>
      <c r="S144" s="42" t="str">
        <f t="shared" si="70"/>
        <v/>
      </c>
      <c r="T144" s="167" t="str">
        <f>IF(L144="","",VLOOKUP(L144,classifications!C:K,9,FALSE))</f>
        <v/>
      </c>
      <c r="U144" s="168" t="str">
        <f t="shared" si="71"/>
        <v/>
      </c>
      <c r="V144" s="174" t="str">
        <f>IF(U144="","",IF($I$8="A",(RANK(U144,U$11:U$343)+COUNTIF(U$11:U144,U144)-1),(RANK(U144,U$11:U$343,1)+COUNTIF(U$11:U144,U144)-1)))</f>
        <v/>
      </c>
      <c r="W144" s="175"/>
      <c r="X144" s="5" t="str">
        <f>IF(L144="","",VLOOKUP($L144,classifications!$C:$J,6,FALSE))</f>
        <v/>
      </c>
      <c r="Y144" t="str">
        <f t="shared" si="72"/>
        <v/>
      </c>
      <c r="Z144" s="40" t="str">
        <f>IF(Y144="","",IF(I$8="A",(RANK(Y144,Y$11:Y$343,1)+COUNTIF(Y$11:Y144,Y144)-1),(RANK(Y144,Y$11:Y$343)+COUNTIF(Y$11:Y144,Y144)-1)))</f>
        <v/>
      </c>
      <c r="AA144" s="180" t="str">
        <f>IF(L144="","",VLOOKUP($L144,classifications!C:I,7,FALSE))</f>
        <v/>
      </c>
      <c r="AB144" s="174" t="str">
        <f t="shared" si="73"/>
        <v/>
      </c>
      <c r="AC144" s="174" t="str">
        <f>IF(AB144="","",IF($I$8="A",(RANK(AB144,AB$11:AB$343)+COUNTIF(AB$11:AB144,AB144)-1),(RANK(AB144,AB$11:AB$343,1)+COUNTIF(AB$11:AB144,AB144)-1)))</f>
        <v/>
      </c>
      <c r="AD144" s="174"/>
      <c r="AE144" s="36" t="str">
        <f t="shared" si="74"/>
        <v/>
      </c>
      <c r="AG144" s="15"/>
      <c r="AH144" s="3"/>
      <c r="AI144" s="5" t="str">
        <f>IF(L144="","",VLOOKUP($L144,classifications!$C:$J,8,FALSE))</f>
        <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
      </c>
      <c r="AQ144" s="43" t="str">
        <f t="shared" si="79"/>
        <v/>
      </c>
      <c r="AR144" s="40" t="str">
        <f>IF(AQ144="","",IF(I$8="A",(RANK(AQ144,AQ$11:AQ$343,1)+COUNTIF(AQ$11:AQ144,AQ144)-1),(RANK(AQ144,AQ$11:AQ$343)+COUNTIF(AQ$11:AQ144,AQ144)-1)))</f>
        <v/>
      </c>
      <c r="AS144" s="3" t="str">
        <f t="shared" si="80"/>
        <v/>
      </c>
      <c r="AT144" s="40" t="str">
        <f t="shared" si="81"/>
        <v/>
      </c>
      <c r="AU144" s="43" t="str">
        <f t="shared" si="82"/>
        <v/>
      </c>
      <c r="AX144">
        <f>HLOOKUP($AX$9&amp;$AX$10,Data!$A$1:$ZZ$1980,(MATCH($C144,Data!$A$1:$A$1980,0)),FALSE)</f>
        <v>462.9</v>
      </c>
    </row>
    <row r="145" spans="1:50">
      <c r="A145" s="59" t="str">
        <f>$D$1&amp;135</f>
        <v>UA135</v>
      </c>
      <c r="B145" s="60">
        <f>IF(ISERROR(VLOOKUP(A147,classifications!A:C,3,FALSE)),0,VLOOKUP(A147,classifications!A:C,3,FALSE))</f>
        <v>0</v>
      </c>
      <c r="C145" t="s">
        <v>86</v>
      </c>
      <c r="D145" t="str">
        <f>VLOOKUP($C145,classifications!$C:$J,4,FALSE)</f>
        <v>SD</v>
      </c>
      <c r="E145">
        <f>VLOOKUP(C145,classifications!C:K,9,FALSE)</f>
        <v>0</v>
      </c>
      <c r="F145">
        <f t="shared" si="60"/>
        <v>402.9</v>
      </c>
      <c r="G145" s="15"/>
      <c r="H145" s="42" t="str">
        <f t="shared" si="61"/>
        <v/>
      </c>
      <c r="I145" s="79" t="str">
        <f>IF(H145="","",IF($I$8="A",(RANK(H145,H$11:H$343,1)+COUNTIF(H$11:H145,H145)-1),(RANK(H145,H$11:H$343)+COUNTIF(H$11:H145,H145)-1)))</f>
        <v/>
      </c>
      <c r="J145" s="41"/>
      <c r="K145" s="36" t="str">
        <f t="shared" si="62"/>
        <v/>
      </c>
      <c r="L145" t="str">
        <f t="shared" si="63"/>
        <v/>
      </c>
      <c r="M145" s="117" t="str">
        <f t="shared" si="64"/>
        <v/>
      </c>
      <c r="N145" s="112" t="str">
        <f t="shared" si="65"/>
        <v/>
      </c>
      <c r="O145" s="96" t="str">
        <f t="shared" si="66"/>
        <v/>
      </c>
      <c r="P145" s="96" t="str">
        <f t="shared" si="67"/>
        <v/>
      </c>
      <c r="Q145" s="96" t="str">
        <f t="shared" si="68"/>
        <v/>
      </c>
      <c r="R145" s="92" t="str">
        <f t="shared" si="69"/>
        <v/>
      </c>
      <c r="S145" s="42" t="str">
        <f t="shared" si="70"/>
        <v/>
      </c>
      <c r="T145" s="167" t="str">
        <f>IF(L145="","",VLOOKUP(L145,classifications!C:K,9,FALSE))</f>
        <v/>
      </c>
      <c r="U145" s="168" t="str">
        <f t="shared" si="71"/>
        <v/>
      </c>
      <c r="V145" s="174" t="str">
        <f>IF(U145="","",IF($I$8="A",(RANK(U145,U$11:U$343)+COUNTIF(U$11:U145,U145)-1),(RANK(U145,U$11:U$343,1)+COUNTIF(U$11:U145,U145)-1)))</f>
        <v/>
      </c>
      <c r="W145" s="175"/>
      <c r="X145" s="5" t="str">
        <f>IF(L145="","",VLOOKUP($L145,classifications!$C:$J,6,FALSE))</f>
        <v/>
      </c>
      <c r="Y145" t="str">
        <f t="shared" si="72"/>
        <v/>
      </c>
      <c r="Z145" s="40" t="str">
        <f>IF(Y145="","",IF(I$8="A",(RANK(Y145,Y$11:Y$343,1)+COUNTIF(Y$11:Y145,Y145)-1),(RANK(Y145,Y$11:Y$343)+COUNTIF(Y$11:Y145,Y145)-1)))</f>
        <v/>
      </c>
      <c r="AA145" s="180" t="str">
        <f>IF(L145="","",VLOOKUP($L145,classifications!C:I,7,FALSE))</f>
        <v/>
      </c>
      <c r="AB145" s="174" t="str">
        <f t="shared" si="73"/>
        <v/>
      </c>
      <c r="AC145" s="174" t="str">
        <f>IF(AB145="","",IF($I$8="A",(RANK(AB145,AB$11:AB$343)+COUNTIF(AB$11:AB145,AB145)-1),(RANK(AB145,AB$11:AB$343,1)+COUNTIF(AB$11:AB145,AB145)-1)))</f>
        <v/>
      </c>
      <c r="AD145" s="174"/>
      <c r="AE145" s="36" t="str">
        <f t="shared" si="74"/>
        <v/>
      </c>
      <c r="AG145" s="15"/>
      <c r="AH145" s="3"/>
      <c r="AI145" s="5" t="str">
        <f>IF(L145="","",VLOOKUP($L145,classifications!$C:$J,8,FALSE))</f>
        <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
      </c>
      <c r="AQ145" s="43" t="str">
        <f t="shared" si="79"/>
        <v/>
      </c>
      <c r="AR145" s="40" t="str">
        <f>IF(AQ145="","",IF(I$8="A",(RANK(AQ145,AQ$11:AQ$343,1)+COUNTIF(AQ$11:AQ145,AQ145)-1),(RANK(AQ145,AQ$11:AQ$343)+COUNTIF(AQ$11:AQ145,AQ145)-1)))</f>
        <v/>
      </c>
      <c r="AS145" s="3" t="str">
        <f t="shared" si="80"/>
        <v/>
      </c>
      <c r="AT145" s="40" t="str">
        <f t="shared" si="81"/>
        <v/>
      </c>
      <c r="AU145" s="43" t="str">
        <f t="shared" si="82"/>
        <v/>
      </c>
      <c r="AX145">
        <f>HLOOKUP($AX$9&amp;$AX$10,Data!$A$1:$ZZ$1980,(MATCH($C145,Data!$A$1:$A$1980,0)),FALSE)</f>
        <v>402.9</v>
      </c>
    </row>
    <row r="146" spans="1:50">
      <c r="A146" s="59" t="str">
        <f>$D$1&amp;136</f>
        <v>UA136</v>
      </c>
      <c r="B146" s="60">
        <f>IF(ISERROR(VLOOKUP(A148,classifications!A:C,3,FALSE)),0,VLOOKUP(A148,classifications!A:C,3,FALSE))</f>
        <v>0</v>
      </c>
      <c r="C146" t="s">
        <v>210</v>
      </c>
      <c r="D146" t="str">
        <f>VLOOKUP($C146,classifications!$C:$J,4,FALSE)</f>
        <v>L</v>
      </c>
      <c r="E146">
        <f>VLOOKUP(C146,classifications!C:K,9,FALSE)</f>
        <v>0</v>
      </c>
      <c r="F146">
        <f t="shared" si="60"/>
        <v>517.20000000000005</v>
      </c>
      <c r="G146" s="15"/>
      <c r="H146" s="42" t="str">
        <f t="shared" si="61"/>
        <v/>
      </c>
      <c r="I146" s="79" t="str">
        <f>IF(H146="","",IF($I$8="A",(RANK(H146,H$11:H$343,1)+COUNTIF(H$11:H146,H146)-1),(RANK(H146,H$11:H$343)+COUNTIF(H$11:H146,H146)-1)))</f>
        <v/>
      </c>
      <c r="J146" s="41"/>
      <c r="K146" s="36" t="str">
        <f t="shared" si="62"/>
        <v/>
      </c>
      <c r="L146" t="str">
        <f t="shared" si="63"/>
        <v/>
      </c>
      <c r="M146" s="117" t="str">
        <f t="shared" si="64"/>
        <v/>
      </c>
      <c r="N146" s="112" t="str">
        <f t="shared" si="65"/>
        <v/>
      </c>
      <c r="O146" s="96" t="str">
        <f t="shared" si="66"/>
        <v/>
      </c>
      <c r="P146" s="96" t="str">
        <f t="shared" si="67"/>
        <v/>
      </c>
      <c r="Q146" s="96" t="str">
        <f t="shared" si="68"/>
        <v/>
      </c>
      <c r="R146" s="92" t="str">
        <f t="shared" si="69"/>
        <v/>
      </c>
      <c r="S146" s="42" t="str">
        <f t="shared" si="70"/>
        <v/>
      </c>
      <c r="T146" s="167" t="str">
        <f>IF(L146="","",VLOOKUP(L146,classifications!C:K,9,FALSE))</f>
        <v/>
      </c>
      <c r="U146" s="168" t="str">
        <f t="shared" si="71"/>
        <v/>
      </c>
      <c r="V146" s="174" t="str">
        <f>IF(U146="","",IF($I$8="A",(RANK(U146,U$11:U$343)+COUNTIF(U$11:U146,U146)-1),(RANK(U146,U$11:U$343,1)+COUNTIF(U$11:U146,U146)-1)))</f>
        <v/>
      </c>
      <c r="W146" s="175"/>
      <c r="X146" s="5" t="str">
        <f>IF(L146="","",VLOOKUP($L146,classifications!$C:$J,6,FALSE))</f>
        <v/>
      </c>
      <c r="Y146" t="str">
        <f t="shared" si="72"/>
        <v/>
      </c>
      <c r="Z146" s="40" t="str">
        <f>IF(Y146="","",IF(I$8="A",(RANK(Y146,Y$11:Y$343,1)+COUNTIF(Y$11:Y146,Y146)-1),(RANK(Y146,Y$11:Y$343)+COUNTIF(Y$11:Y146,Y146)-1)))</f>
        <v/>
      </c>
      <c r="AA146" s="180" t="str">
        <f>IF(L146="","",VLOOKUP($L146,classifications!C:I,7,FALSE))</f>
        <v/>
      </c>
      <c r="AB146" s="174" t="str">
        <f t="shared" si="73"/>
        <v/>
      </c>
      <c r="AC146" s="174" t="str">
        <f>IF(AB146="","",IF($I$8="A",(RANK(AB146,AB$11:AB$343)+COUNTIF(AB$11:AB146,AB146)-1),(RANK(AB146,AB$11:AB$343,1)+COUNTIF(AB$11:AB146,AB146)-1)))</f>
        <v/>
      </c>
      <c r="AD146" s="174"/>
      <c r="AE146" s="36" t="str">
        <f t="shared" si="74"/>
        <v/>
      </c>
      <c r="AG146" s="15"/>
      <c r="AH146" s="3"/>
      <c r="AI146" s="5" t="str">
        <f>IF(L146="","",VLOOKUP($L146,classifications!$C:$J,8,FALSE))</f>
        <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
      </c>
      <c r="AQ146" s="43" t="str">
        <f t="shared" si="79"/>
        <v/>
      </c>
      <c r="AR146" s="40" t="str">
        <f>IF(AQ146="","",IF(I$8="A",(RANK(AQ146,AQ$11:AQ$343,1)+COUNTIF(AQ$11:AQ146,AQ146)-1),(RANK(AQ146,AQ$11:AQ$343)+COUNTIF(AQ$11:AQ146,AQ146)-1)))</f>
        <v/>
      </c>
      <c r="AS146" s="3" t="str">
        <f t="shared" si="80"/>
        <v/>
      </c>
      <c r="AT146" s="40" t="str">
        <f t="shared" si="81"/>
        <v/>
      </c>
      <c r="AU146" s="43" t="str">
        <f t="shared" si="82"/>
        <v/>
      </c>
      <c r="AX146">
        <f>HLOOKUP($AX$9&amp;$AX$10,Data!$A$1:$ZZ$1980,(MATCH($C146,Data!$A$1:$A$1980,0)),FALSE)</f>
        <v>517.20000000000005</v>
      </c>
    </row>
    <row r="147" spans="1:50">
      <c r="A147" s="59" t="str">
        <f>$D$1&amp;137</f>
        <v>UA137</v>
      </c>
      <c r="B147" s="60">
        <f>IF(ISERROR(VLOOKUP(A149,classifications!A:C,3,FALSE)),0,VLOOKUP(A149,classifications!A:C,3,FALSE))</f>
        <v>0</v>
      </c>
      <c r="C147" t="s">
        <v>346</v>
      </c>
      <c r="D147" t="str">
        <f>VLOOKUP($C147,classifications!$C:$J,4,FALSE)</f>
        <v>SD</v>
      </c>
      <c r="E147">
        <f>VLOOKUP(C147,classifications!C:K,9,FALSE)</f>
        <v>0</v>
      </c>
      <c r="F147">
        <f t="shared" si="60"/>
        <v>486.5</v>
      </c>
      <c r="G147" s="15"/>
      <c r="H147" s="42" t="str">
        <f t="shared" si="61"/>
        <v/>
      </c>
      <c r="I147" s="79" t="str">
        <f>IF(H147="","",IF($I$8="A",(RANK(H147,H$11:H$343,1)+COUNTIF(H$11:H147,H147)-1),(RANK(H147,H$11:H$343)+COUNTIF(H$11:H147,H147)-1)))</f>
        <v/>
      </c>
      <c r="J147" s="41"/>
      <c r="K147" s="36" t="str">
        <f t="shared" si="62"/>
        <v/>
      </c>
      <c r="L147" t="str">
        <f t="shared" si="63"/>
        <v/>
      </c>
      <c r="M147" s="117" t="str">
        <f t="shared" si="64"/>
        <v/>
      </c>
      <c r="N147" s="112" t="str">
        <f t="shared" si="65"/>
        <v/>
      </c>
      <c r="O147" s="96" t="str">
        <f t="shared" si="66"/>
        <v/>
      </c>
      <c r="P147" s="96" t="str">
        <f t="shared" si="67"/>
        <v/>
      </c>
      <c r="Q147" s="96" t="str">
        <f t="shared" si="68"/>
        <v/>
      </c>
      <c r="R147" s="92" t="str">
        <f t="shared" si="69"/>
        <v/>
      </c>
      <c r="S147" s="42" t="str">
        <f t="shared" si="70"/>
        <v/>
      </c>
      <c r="T147" s="167" t="str">
        <f>IF(L147="","",VLOOKUP(L147,classifications!C:K,9,FALSE))</f>
        <v/>
      </c>
      <c r="U147" s="168" t="str">
        <f t="shared" si="71"/>
        <v/>
      </c>
      <c r="V147" s="174" t="str">
        <f>IF(U147="","",IF($I$8="A",(RANK(U147,U$11:U$343)+COUNTIF(U$11:U147,U147)-1),(RANK(U147,U$11:U$343,1)+COUNTIF(U$11:U147,U147)-1)))</f>
        <v/>
      </c>
      <c r="W147" s="175"/>
      <c r="X147" s="5" t="str">
        <f>IF(L147="","",VLOOKUP($L147,classifications!$C:$J,6,FALSE))</f>
        <v/>
      </c>
      <c r="Y147" t="str">
        <f t="shared" si="72"/>
        <v/>
      </c>
      <c r="Z147" s="40" t="str">
        <f>IF(Y147="","",IF(I$8="A",(RANK(Y147,Y$11:Y$343,1)+COUNTIF(Y$11:Y147,Y147)-1),(RANK(Y147,Y$11:Y$343)+COUNTIF(Y$11:Y147,Y147)-1)))</f>
        <v/>
      </c>
      <c r="AA147" s="180" t="str">
        <f>IF(L147="","",VLOOKUP($L147,classifications!C:I,7,FALSE))</f>
        <v/>
      </c>
      <c r="AB147" s="174" t="str">
        <f t="shared" si="73"/>
        <v/>
      </c>
      <c r="AC147" s="174" t="str">
        <f>IF(AB147="","",IF($I$8="A",(RANK(AB147,AB$11:AB$343)+COUNTIF(AB$11:AB147,AB147)-1),(RANK(AB147,AB$11:AB$343,1)+COUNTIF(AB$11:AB147,AB147)-1)))</f>
        <v/>
      </c>
      <c r="AD147" s="174"/>
      <c r="AE147" s="36" t="str">
        <f t="shared" si="74"/>
        <v/>
      </c>
      <c r="AG147" s="15"/>
      <c r="AH147" s="3"/>
      <c r="AI147" s="5" t="str">
        <f>IF(L147="","",VLOOKUP($L147,classifications!$C:$J,8,FALSE))</f>
        <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
      </c>
      <c r="AQ147" s="43" t="str">
        <f t="shared" si="79"/>
        <v/>
      </c>
      <c r="AR147" s="40" t="str">
        <f>IF(AQ147="","",IF(I$8="A",(RANK(AQ147,AQ$11:AQ$343,1)+COUNTIF(AQ$11:AQ147,AQ147)-1),(RANK(AQ147,AQ$11:AQ$343)+COUNTIF(AQ$11:AQ147,AQ147)-1)))</f>
        <v/>
      </c>
      <c r="AS147" s="3" t="str">
        <f t="shared" si="80"/>
        <v/>
      </c>
      <c r="AT147" s="40" t="str">
        <f t="shared" si="81"/>
        <v/>
      </c>
      <c r="AU147" s="43" t="str">
        <f t="shared" si="82"/>
        <v/>
      </c>
      <c r="AX147">
        <f>HLOOKUP($AX$9&amp;$AX$10,Data!$A$1:$ZZ$1980,(MATCH($C147,Data!$A$1:$A$1980,0)),FALSE)</f>
        <v>486.5</v>
      </c>
    </row>
    <row r="148" spans="1:50">
      <c r="A148" s="59" t="str">
        <f>$D$1&amp;138</f>
        <v>UA138</v>
      </c>
      <c r="B148" s="60">
        <f>IF(ISERROR(VLOOKUP(A150,classifications!A:C,3,FALSE)),0,VLOOKUP(A150,classifications!A:C,3,FALSE))</f>
        <v>0</v>
      </c>
      <c r="C148" t="s">
        <v>87</v>
      </c>
      <c r="D148" t="str">
        <f>VLOOKUP($C148,classifications!$C:$J,4,FALSE)</f>
        <v>SD</v>
      </c>
      <c r="E148">
        <f>VLOOKUP(C148,classifications!C:K,9,FALSE)</f>
        <v>0</v>
      </c>
      <c r="F148">
        <f t="shared" si="60"/>
        <v>387.5</v>
      </c>
      <c r="G148" s="15"/>
      <c r="H148" s="42" t="str">
        <f t="shared" si="61"/>
        <v/>
      </c>
      <c r="I148" s="79" t="str">
        <f>IF(H148="","",IF($I$8="A",(RANK(H148,H$11:H$343,1)+COUNTIF(H$11:H148,H148)-1),(RANK(H148,H$11:H$343)+COUNTIF(H$11:H148,H148)-1)))</f>
        <v/>
      </c>
      <c r="J148" s="41"/>
      <c r="K148" s="36" t="str">
        <f t="shared" si="62"/>
        <v/>
      </c>
      <c r="L148" t="str">
        <f t="shared" si="63"/>
        <v/>
      </c>
      <c r="M148" s="117" t="str">
        <f t="shared" si="64"/>
        <v/>
      </c>
      <c r="N148" s="112" t="str">
        <f t="shared" si="65"/>
        <v/>
      </c>
      <c r="O148" s="96" t="str">
        <f t="shared" si="66"/>
        <v/>
      </c>
      <c r="P148" s="96" t="str">
        <f t="shared" si="67"/>
        <v/>
      </c>
      <c r="Q148" s="96" t="str">
        <f t="shared" si="68"/>
        <v/>
      </c>
      <c r="R148" s="92" t="str">
        <f t="shared" si="69"/>
        <v/>
      </c>
      <c r="S148" s="42" t="str">
        <f t="shared" si="70"/>
        <v/>
      </c>
      <c r="T148" s="167" t="str">
        <f>IF(L148="","",VLOOKUP(L148,classifications!C:K,9,FALSE))</f>
        <v/>
      </c>
      <c r="U148" s="168" t="str">
        <f t="shared" si="71"/>
        <v/>
      </c>
      <c r="V148" s="174" t="str">
        <f>IF(U148="","",IF($I$8="A",(RANK(U148,U$11:U$343)+COUNTIF(U$11:U148,U148)-1),(RANK(U148,U$11:U$343,1)+COUNTIF(U$11:U148,U148)-1)))</f>
        <v/>
      </c>
      <c r="W148" s="175"/>
      <c r="X148" s="5" t="str">
        <f>IF(L148="","",VLOOKUP($L148,classifications!$C:$J,6,FALSE))</f>
        <v/>
      </c>
      <c r="Y148" t="str">
        <f t="shared" si="72"/>
        <v/>
      </c>
      <c r="Z148" s="40" t="str">
        <f>IF(Y148="","",IF(I$8="A",(RANK(Y148,Y$11:Y$343,1)+COUNTIF(Y$11:Y148,Y148)-1),(RANK(Y148,Y$11:Y$343)+COUNTIF(Y$11:Y148,Y148)-1)))</f>
        <v/>
      </c>
      <c r="AA148" s="180" t="str">
        <f>IF(L148="","",VLOOKUP($L148,classifications!C:I,7,FALSE))</f>
        <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
      </c>
      <c r="AQ148" s="43" t="str">
        <f t="shared" si="79"/>
        <v/>
      </c>
      <c r="AR148" s="40" t="str">
        <f>IF(AQ148="","",IF(I$8="A",(RANK(AQ148,AQ$11:AQ$343,1)+COUNTIF(AQ$11:AQ148,AQ148)-1),(RANK(AQ148,AQ$11:AQ$343)+COUNTIF(AQ$11:AQ148,AQ148)-1)))</f>
        <v/>
      </c>
      <c r="AS148" s="3" t="str">
        <f t="shared" si="80"/>
        <v/>
      </c>
      <c r="AT148" s="40" t="str">
        <f t="shared" si="81"/>
        <v/>
      </c>
      <c r="AU148" s="43" t="str">
        <f t="shared" si="82"/>
        <v/>
      </c>
      <c r="AX148">
        <f>HLOOKUP($AX$9&amp;$AX$10,Data!$A$1:$ZZ$1980,(MATCH($C148,Data!$A$1:$A$1980,0)),FALSE)</f>
        <v>387.5</v>
      </c>
    </row>
    <row r="149" spans="1:50">
      <c r="A149" s="59" t="str">
        <f>$D$1&amp;139</f>
        <v>UA139</v>
      </c>
      <c r="B149" s="60">
        <f>IF(ISERROR(VLOOKUP(A151,classifications!A:C,3,FALSE)),0,VLOOKUP(A151,classifications!A:C,3,FALSE))</f>
        <v>0</v>
      </c>
      <c r="C149" t="s">
        <v>211</v>
      </c>
      <c r="D149" t="str">
        <f>VLOOKUP($C149,classifications!$C:$J,4,FALSE)</f>
        <v>L</v>
      </c>
      <c r="E149">
        <f>VLOOKUP(C149,classifications!C:K,9,FALSE)</f>
        <v>0</v>
      </c>
      <c r="F149">
        <f t="shared" si="60"/>
        <v>501.8</v>
      </c>
      <c r="G149" s="15"/>
      <c r="H149" s="42" t="str">
        <f t="shared" si="61"/>
        <v/>
      </c>
      <c r="I149" s="79" t="str">
        <f>IF(H149="","",IF($I$8="A",(RANK(H149,H$11:H$343,1)+COUNTIF(H$11:H149,H149)-1),(RANK(H149,H$11:H$343)+COUNTIF(H$11:H149,H149)-1)))</f>
        <v/>
      </c>
      <c r="J149" s="41"/>
      <c r="K149" s="36" t="str">
        <f t="shared" si="62"/>
        <v/>
      </c>
      <c r="L149" t="str">
        <f t="shared" si="63"/>
        <v/>
      </c>
      <c r="M149" s="117" t="str">
        <f t="shared" si="64"/>
        <v/>
      </c>
      <c r="N149" s="112" t="str">
        <f t="shared" si="65"/>
        <v/>
      </c>
      <c r="O149" s="96" t="str">
        <f t="shared" si="66"/>
        <v/>
      </c>
      <c r="P149" s="96" t="str">
        <f t="shared" si="67"/>
        <v/>
      </c>
      <c r="Q149" s="96" t="str">
        <f t="shared" si="68"/>
        <v/>
      </c>
      <c r="R149" s="92" t="str">
        <f t="shared" si="69"/>
        <v/>
      </c>
      <c r="S149" s="42" t="str">
        <f t="shared" si="70"/>
        <v/>
      </c>
      <c r="T149" s="167" t="str">
        <f>IF(L149="","",VLOOKUP(L149,classifications!C:K,9,FALSE))</f>
        <v/>
      </c>
      <c r="U149" s="168" t="str">
        <f t="shared" si="71"/>
        <v/>
      </c>
      <c r="V149" s="174" t="str">
        <f>IF(U149="","",IF($I$8="A",(RANK(U149,U$11:U$343)+COUNTIF(U$11:U149,U149)-1),(RANK(U149,U$11:U$343,1)+COUNTIF(U$11:U149,U149)-1)))</f>
        <v/>
      </c>
      <c r="W149" s="175"/>
      <c r="X149" s="5" t="str">
        <f>IF(L149="","",VLOOKUP($L149,classifications!$C:$J,6,FALSE))</f>
        <v/>
      </c>
      <c r="Y149" t="str">
        <f t="shared" si="72"/>
        <v/>
      </c>
      <c r="Z149" s="40" t="str">
        <f>IF(Y149="","",IF(I$8="A",(RANK(Y149,Y$11:Y$343,1)+COUNTIF(Y$11:Y149,Y149)-1),(RANK(Y149,Y$11:Y$343)+COUNTIF(Y$11:Y149,Y149)-1)))</f>
        <v/>
      </c>
      <c r="AA149" s="180" t="str">
        <f>IF(L149="","",VLOOKUP($L149,classifications!C:I,7,FALSE))</f>
        <v/>
      </c>
      <c r="AB149" s="174" t="str">
        <f t="shared" si="73"/>
        <v/>
      </c>
      <c r="AC149" s="174" t="str">
        <f>IF(AB149="","",IF($I$8="A",(RANK(AB149,AB$11:AB$343)+COUNTIF(AB$11:AB149,AB149)-1),(RANK(AB149,AB$11:AB$343,1)+COUNTIF(AB$11:AB149,AB149)-1)))</f>
        <v/>
      </c>
      <c r="AD149" s="174"/>
      <c r="AE149" s="36" t="str">
        <f t="shared" si="74"/>
        <v/>
      </c>
      <c r="AG149" s="15"/>
      <c r="AH149" s="3"/>
      <c r="AI149" s="5" t="str">
        <f>IF(L149="","",VLOOKUP($L149,classifications!$C:$J,8,FALSE))</f>
        <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
      </c>
      <c r="AQ149" s="43" t="str">
        <f t="shared" si="79"/>
        <v/>
      </c>
      <c r="AR149" s="40" t="str">
        <f>IF(AQ149="","",IF(I$8="A",(RANK(AQ149,AQ$11:AQ$343,1)+COUNTIF(AQ$11:AQ149,AQ149)-1),(RANK(AQ149,AQ$11:AQ$343)+COUNTIF(AQ$11:AQ149,AQ149)-1)))</f>
        <v/>
      </c>
      <c r="AS149" s="3" t="str">
        <f t="shared" si="80"/>
        <v/>
      </c>
      <c r="AT149" s="40" t="str">
        <f t="shared" si="81"/>
        <v/>
      </c>
      <c r="AU149" s="43" t="str">
        <f t="shared" si="82"/>
        <v/>
      </c>
      <c r="AX149">
        <f>HLOOKUP($AX$9&amp;$AX$10,Data!$A$1:$ZZ$1980,(MATCH($C149,Data!$A$1:$A$1980,0)),FALSE)</f>
        <v>501.8</v>
      </c>
    </row>
    <row r="150" spans="1:50">
      <c r="A150" s="59" t="str">
        <f>$D$1&amp;140</f>
        <v>UA140</v>
      </c>
      <c r="B150" s="60">
        <f>IF(ISERROR(VLOOKUP(A152,classifications!A:C,3,FALSE)),0,VLOOKUP(A152,classifications!A:C,3,FALSE))</f>
        <v>0</v>
      </c>
      <c r="C150" t="s">
        <v>88</v>
      </c>
      <c r="D150" t="str">
        <f>VLOOKUP($C150,classifications!$C:$J,4,FALSE)</f>
        <v>SD</v>
      </c>
      <c r="E150">
        <f>VLOOKUP(C150,classifications!C:K,9,FALSE)</f>
        <v>0</v>
      </c>
      <c r="F150">
        <f t="shared" ref="F150:F213" si="83">HLOOKUP($D$6,AX$10:ZX$355,ROW()-9,FALSE)</f>
        <v>372.8</v>
      </c>
      <c r="G150" s="15"/>
      <c r="H150" s="42" t="str">
        <f t="shared" ref="H150:H213" si="84">IF(D150=$D$1,HLOOKUP($D$6,$AX$10:$ZZ$355,ROW()-9,FALSE),"")</f>
        <v/>
      </c>
      <c r="I150" s="79" t="str">
        <f>IF(H150="","",IF($I$8="A",(RANK(H150,H$11:H$343,1)+COUNTIF(H$11:H150,H150)-1),(RANK(H150,H$11:H$343)+COUNTIF(H$11:H150,H150)-1)))</f>
        <v/>
      </c>
      <c r="J150" s="41"/>
      <c r="K150" s="36" t="str">
        <f t="shared" ref="K150:K213" si="85">IF(K149="","",IF(K149+1&gt;(COUNT(H$11:H$343)),"",K149+1))</f>
        <v/>
      </c>
      <c r="L150" t="str">
        <f t="shared" ref="L150:L213" si="86">IF(K150="","",INDEX(C$11:C$343,MATCH(K150,I$11:I$343,0)))</f>
        <v/>
      </c>
      <c r="M150" s="117" t="str">
        <f t="shared" ref="M150:M213" si="87">IF(L150="","",IF(VLOOKUP(L150,C:D,2,FALSE)=$F$3,VLOOKUP(L150,C:H,6,FALSE),""))</f>
        <v/>
      </c>
      <c r="N150" s="112" t="str">
        <f t="shared" ref="N150:N213" si="88">IF(L150="","",IF($H$8="%%",M150*100,M150))</f>
        <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t="str">
        <f t="shared" ref="R150:R213" si="92">IF(I$8="A",IF(N150&gt;$Q$10,N150,""),IF(N150&lt;$Q$10,N150,""))</f>
        <v/>
      </c>
      <c r="S150" s="42" t="str">
        <f t="shared" ref="S150:S213" si="93">IF(L150=D$3,"u","")</f>
        <v/>
      </c>
      <c r="T150" s="167" t="str">
        <f>IF(L150="","",VLOOKUP(L150,classifications!C:K,9,FALSE))</f>
        <v/>
      </c>
      <c r="U150" s="168" t="str">
        <f t="shared" ref="U150:U213" si="94">IF(T150="Sparse",M150,"")</f>
        <v/>
      </c>
      <c r="V150" s="174" t="str">
        <f>IF(U150="","",IF($I$8="A",(RANK(U150,U$11:U$343)+COUNTIF(U$11:U150,U150)-1),(RANK(U150,U$11:U$343,1)+COUNTIF(U$11:U150,U150)-1)))</f>
        <v/>
      </c>
      <c r="W150" s="175"/>
      <c r="X150" s="5" t="str">
        <f>IF(L150="","",VLOOKUP($L150,classifications!$C:$J,6,FALSE))</f>
        <v/>
      </c>
      <c r="Y150" t="str">
        <f t="shared" ref="Y150:Y213" si="95">IF($D$1="UA",IF(X150="Largely Rural (rural including hub towns 50-79%) ",M150,IF(X150="Mainly Rural (rural including hub towns &gt;=80%) ",M150,IF(X150="Urban with Significant Rural (rural including hub towns 26-49%)",M150,""))),IF($D$1="SD",IF(X150=$H$3,M150,"")))</f>
        <v/>
      </c>
      <c r="Z150" s="40" t="str">
        <f>IF(Y150="","",IF(I$8="A",(RANK(Y150,Y$11:Y$343,1)+COUNTIF(Y$11:Y150,Y150)-1),(RANK(Y150,Y$11:Y$343)+COUNTIF(Y$11:Y150,Y150)-1)))</f>
        <v/>
      </c>
      <c r="AA150" s="180" t="str">
        <f>IF(L150="","",VLOOKUP($L150,classifications!C:I,7,FALSE))</f>
        <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f>HLOOKUP($AX$9&amp;$AX$10,Data!$A$1:$ZZ$1980,(MATCH($C150,Data!$A$1:$A$1980,0)),FALSE)</f>
        <v>372.8</v>
      </c>
    </row>
    <row r="151" spans="1:50">
      <c r="A151" s="59" t="str">
        <f>$D$1&amp;141</f>
        <v>UA141</v>
      </c>
      <c r="B151" s="60">
        <f>IF(ISERROR(VLOOKUP(A153,classifications!A:C,3,FALSE)),0,VLOOKUP(A153,classifications!A:C,3,FALSE))</f>
        <v>0</v>
      </c>
      <c r="C151" t="s">
        <v>89</v>
      </c>
      <c r="D151" t="str">
        <f>VLOOKUP($C151,classifications!$C:$J,4,FALSE)</f>
        <v>SD</v>
      </c>
      <c r="E151">
        <f>VLOOKUP(C151,classifications!C:K,9,FALSE)</f>
        <v>0</v>
      </c>
      <c r="F151">
        <f t="shared" si="83"/>
        <v>435.7</v>
      </c>
      <c r="G151" s="15"/>
      <c r="H151" s="42" t="str">
        <f t="shared" si="84"/>
        <v/>
      </c>
      <c r="I151" s="79" t="str">
        <f>IF(H151="","",IF($I$8="A",(RANK(H151,H$11:H$343,1)+COUNTIF(H$11:H151,H151)-1),(RANK(H151,H$11:H$343)+COUNTIF(H$11:H151,H151)-1)))</f>
        <v/>
      </c>
      <c r="J151" s="41"/>
      <c r="K151" s="36" t="str">
        <f t="shared" si="85"/>
        <v/>
      </c>
      <c r="L151" t="str">
        <f t="shared" si="86"/>
        <v/>
      </c>
      <c r="M151" s="117" t="str">
        <f t="shared" si="87"/>
        <v/>
      </c>
      <c r="N151" s="112" t="str">
        <f t="shared" si="88"/>
        <v/>
      </c>
      <c r="O151" s="96" t="str">
        <f t="shared" si="89"/>
        <v/>
      </c>
      <c r="P151" s="96" t="str">
        <f t="shared" si="90"/>
        <v/>
      </c>
      <c r="Q151" s="96" t="str">
        <f t="shared" si="91"/>
        <v/>
      </c>
      <c r="R151" s="92" t="str">
        <f t="shared" si="92"/>
        <v/>
      </c>
      <c r="S151" s="42" t="str">
        <f t="shared" si="93"/>
        <v/>
      </c>
      <c r="T151" s="167" t="str">
        <f>IF(L151="","",VLOOKUP(L151,classifications!C:K,9,FALSE))</f>
        <v/>
      </c>
      <c r="U151" s="168" t="str">
        <f t="shared" si="94"/>
        <v/>
      </c>
      <c r="V151" s="174" t="str">
        <f>IF(U151="","",IF($I$8="A",(RANK(U151,U$11:U$343)+COUNTIF(U$11:U151,U151)-1),(RANK(U151,U$11:U$343,1)+COUNTIF(U$11:U151,U151)-1)))</f>
        <v/>
      </c>
      <c r="W151" s="175"/>
      <c r="X151" s="5" t="str">
        <f>IF(L151="","",VLOOKUP($L151,classifications!$C:$J,6,FALSE))</f>
        <v/>
      </c>
      <c r="Y151" t="str">
        <f t="shared" si="95"/>
        <v/>
      </c>
      <c r="Z151" s="40" t="str">
        <f>IF(Y151="","",IF(I$8="A",(RANK(Y151,Y$11:Y$343,1)+COUNTIF(Y$11:Y151,Y151)-1),(RANK(Y151,Y$11:Y$343)+COUNTIF(Y$11:Y151,Y151)-1)))</f>
        <v/>
      </c>
      <c r="AA151" s="180" t="str">
        <f>IF(L151="","",VLOOKUP($L151,classifications!C:I,7,FALSE))</f>
        <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f>HLOOKUP($AX$9&amp;$AX$10,Data!$A$1:$ZZ$1980,(MATCH($C151,Data!$A$1:$A$1980,0)),FALSE)</f>
        <v>435.7</v>
      </c>
    </row>
    <row r="152" spans="1:50">
      <c r="A152" s="59" t="str">
        <f>$D$1&amp;142</f>
        <v>UA142</v>
      </c>
      <c r="B152" s="60">
        <f>IF(ISERROR(VLOOKUP(A154,classifications!A:C,3,FALSE)),0,VLOOKUP(A154,classifications!A:C,3,FALSE))</f>
        <v>0</v>
      </c>
      <c r="C152" t="s">
        <v>90</v>
      </c>
      <c r="D152" t="str">
        <f>VLOOKUP($C152,classifications!$C:$J,4,FALSE)</f>
        <v>SD</v>
      </c>
      <c r="E152">
        <f>VLOOKUP(C152,classifications!C:K,9,FALSE)</f>
        <v>0</v>
      </c>
      <c r="F152">
        <f t="shared" si="83"/>
        <v>553.20000000000005</v>
      </c>
      <c r="G152" s="15"/>
      <c r="H152" s="42" t="str">
        <f t="shared" si="84"/>
        <v/>
      </c>
      <c r="I152" s="79" t="str">
        <f>IF(H152="","",IF($I$8="A",(RANK(H152,H$11:H$343,1)+COUNTIF(H$11:H152,H152)-1),(RANK(H152,H$11:H$343)+COUNTIF(H$11:H152,H152)-1)))</f>
        <v/>
      </c>
      <c r="J152" s="41"/>
      <c r="K152" s="36" t="str">
        <f t="shared" si="85"/>
        <v/>
      </c>
      <c r="L152" t="str">
        <f t="shared" si="86"/>
        <v/>
      </c>
      <c r="M152" s="117" t="str">
        <f t="shared" si="87"/>
        <v/>
      </c>
      <c r="N152" s="112" t="str">
        <f t="shared" si="88"/>
        <v/>
      </c>
      <c r="O152" s="96" t="str">
        <f t="shared" si="89"/>
        <v/>
      </c>
      <c r="P152" s="96" t="str">
        <f t="shared" si="90"/>
        <v/>
      </c>
      <c r="Q152" s="96" t="str">
        <f t="shared" si="91"/>
        <v/>
      </c>
      <c r="R152" s="92" t="str">
        <f t="shared" si="92"/>
        <v/>
      </c>
      <c r="S152" s="42" t="str">
        <f t="shared" si="93"/>
        <v/>
      </c>
      <c r="T152" s="167" t="str">
        <f>IF(L152="","",VLOOKUP(L152,classifications!C:K,9,FALSE))</f>
        <v/>
      </c>
      <c r="U152" s="168" t="str">
        <f t="shared" si="94"/>
        <v/>
      </c>
      <c r="V152" s="174" t="str">
        <f>IF(U152="","",IF($I$8="A",(RANK(U152,U$11:U$343)+COUNTIF(U$11:U152,U152)-1),(RANK(U152,U$11:U$343,1)+COUNTIF(U$11:U152,U152)-1)))</f>
        <v/>
      </c>
      <c r="W152" s="175"/>
      <c r="X152" s="5" t="str">
        <f>IF(L152="","",VLOOKUP($L152,classifications!$C:$J,6,FALSE))</f>
        <v/>
      </c>
      <c r="Y152" t="str">
        <f t="shared" si="95"/>
        <v/>
      </c>
      <c r="Z152" s="40" t="str">
        <f>IF(Y152="","",IF(I$8="A",(RANK(Y152,Y$11:Y$343,1)+COUNTIF(Y$11:Y152,Y152)-1),(RANK(Y152,Y$11:Y$343)+COUNTIF(Y$11:Y152,Y152)-1)))</f>
        <v/>
      </c>
      <c r="AA152" s="180" t="str">
        <f>IF(L152="","",VLOOKUP($L152,classifications!C:I,7,FALSE))</f>
        <v/>
      </c>
      <c r="AB152" s="174" t="str">
        <f t="shared" si="96"/>
        <v/>
      </c>
      <c r="AC152" s="174" t="str">
        <f>IF(AB152="","",IF($I$8="A",(RANK(AB152,AB$11:AB$343)+COUNTIF(AB$11:AB152,AB152)-1),(RANK(AB152,AB$11:AB$343,1)+COUNTIF(AB$11:AB152,AB152)-1)))</f>
        <v/>
      </c>
      <c r="AD152" s="174"/>
      <c r="AE152" s="36" t="str">
        <f t="shared" si="97"/>
        <v/>
      </c>
      <c r="AG152" s="15"/>
      <c r="AH152" s="3"/>
      <c r="AI152" s="5" t="str">
        <f>IF(L152="","",VLOOKUP($L152,classifications!$C:$J,8,FALSE))</f>
        <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
      </c>
      <c r="AQ152" s="43" t="str">
        <f t="shared" si="102"/>
        <v/>
      </c>
      <c r="AR152" s="40" t="str">
        <f>IF(AQ152="","",IF(I$8="A",(RANK(AQ152,AQ$11:AQ$343,1)+COUNTIF(AQ$11:AQ152,AQ152)-1),(RANK(AQ152,AQ$11:AQ$343)+COUNTIF(AQ$11:AQ152,AQ152)-1)))</f>
        <v/>
      </c>
      <c r="AS152" s="3" t="str">
        <f t="shared" si="103"/>
        <v/>
      </c>
      <c r="AT152" s="40" t="str">
        <f t="shared" si="104"/>
        <v/>
      </c>
      <c r="AU152" s="43" t="str">
        <f t="shared" si="105"/>
        <v/>
      </c>
      <c r="AX152">
        <f>HLOOKUP($AX$9&amp;$AX$10,Data!$A$1:$ZZ$1980,(MATCH($C152,Data!$A$1:$A$1980,0)),FALSE)</f>
        <v>553.20000000000005</v>
      </c>
    </row>
    <row r="153" spans="1:50">
      <c r="A153" s="59" t="str">
        <f>$D$1&amp;143</f>
        <v>UA143</v>
      </c>
      <c r="B153" s="60">
        <f>IF(ISERROR(VLOOKUP(A155,classifications!A:C,3,FALSE)),0,VLOOKUP(A155,classifications!A:C,3,FALSE))</f>
        <v>0</v>
      </c>
      <c r="C153" t="s">
        <v>271</v>
      </c>
      <c r="D153" t="str">
        <f>VLOOKUP($C153,classifications!$C:$J,4,FALSE)</f>
        <v>UA</v>
      </c>
      <c r="E153" t="str">
        <f>VLOOKUP(C153,classifications!C:K,9,FALSE)</f>
        <v>Sparse</v>
      </c>
      <c r="F153">
        <f t="shared" si="83"/>
        <v>397.1</v>
      </c>
      <c r="G153" s="15"/>
      <c r="H153" s="42">
        <f t="shared" si="84"/>
        <v>397.1</v>
      </c>
      <c r="I153" s="79">
        <f>IF(H153="","",IF($I$8="A",(RANK(H153,H$11:H$343,1)+COUNTIF(H$11:H153,H153)-1),(RANK(H153,H$11:H$343)+COUNTIF(H$11:H153,H153)-1)))</f>
        <v>7</v>
      </c>
      <c r="J153" s="41"/>
      <c r="K153" s="36" t="str">
        <f t="shared" si="85"/>
        <v/>
      </c>
      <c r="L153" t="str">
        <f t="shared" si="86"/>
        <v/>
      </c>
      <c r="M153" s="117" t="str">
        <f t="shared" si="87"/>
        <v/>
      </c>
      <c r="N153" s="112" t="str">
        <f t="shared" si="88"/>
        <v/>
      </c>
      <c r="O153" s="96" t="str">
        <f t="shared" si="89"/>
        <v/>
      </c>
      <c r="P153" s="96" t="str">
        <f t="shared" si="90"/>
        <v/>
      </c>
      <c r="Q153" s="96" t="str">
        <f t="shared" si="91"/>
        <v/>
      </c>
      <c r="R153" s="92" t="str">
        <f t="shared" si="92"/>
        <v/>
      </c>
      <c r="S153" s="42" t="str">
        <f t="shared" si="93"/>
        <v/>
      </c>
      <c r="T153" s="167" t="str">
        <f>IF(L153="","",VLOOKUP(L153,classifications!C:K,9,FALSE))</f>
        <v/>
      </c>
      <c r="U153" s="168" t="str">
        <f t="shared" si="94"/>
        <v/>
      </c>
      <c r="V153" s="174" t="str">
        <f>IF(U153="","",IF($I$8="A",(RANK(U153,U$11:U$343)+COUNTIF(U$11:U153,U153)-1),(RANK(U153,U$11:U$343,1)+COUNTIF(U$11:U153,U153)-1)))</f>
        <v/>
      </c>
      <c r="W153" s="175"/>
      <c r="X153" s="5" t="str">
        <f>IF(L153="","",VLOOKUP($L153,classifications!$C:$J,6,FALSE))</f>
        <v/>
      </c>
      <c r="Y153" t="str">
        <f t="shared" si="95"/>
        <v/>
      </c>
      <c r="Z153" s="40" t="str">
        <f>IF(Y153="","",IF(I$8="A",(RANK(Y153,Y$11:Y$343,1)+COUNTIF(Y$11:Y153,Y153)-1),(RANK(Y153,Y$11:Y$343)+COUNTIF(Y$11:Y153,Y153)-1)))</f>
        <v/>
      </c>
      <c r="AA153" s="180" t="str">
        <f>IF(L153="","",VLOOKUP($L153,classifications!C:I,7,FALSE))</f>
        <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397.1</v>
      </c>
    </row>
    <row r="154" spans="1:50">
      <c r="A154" s="59" t="str">
        <f>$D$1&amp;144</f>
        <v>UA144</v>
      </c>
      <c r="B154" s="60">
        <f>IF(ISERROR(VLOOKUP(A156,classifications!A:C,3,FALSE)),0,VLOOKUP(A156,classifications!A:C,3,FALSE))</f>
        <v>0</v>
      </c>
      <c r="C154" t="s">
        <v>2</v>
      </c>
      <c r="D154">
        <f>VLOOKUP($C154,classifications!$C:$J,4,FALSE)</f>
        <v>0</v>
      </c>
      <c r="E154">
        <f>VLOOKUP(C154,classifications!C:K,9,FALSE)</f>
        <v>0</v>
      </c>
      <c r="F154">
        <f t="shared" si="83"/>
        <v>827</v>
      </c>
      <c r="G154" s="15"/>
      <c r="H154" s="42" t="str">
        <f t="shared" si="84"/>
        <v/>
      </c>
      <c r="I154" s="79" t="str">
        <f>IF(H154="","",IF($I$8="A",(RANK(H154,H$11:H$343,1)+COUNTIF(H$11:H154,H154)-1),(RANK(H154,H$11:H$343)+COUNTIF(H$11:H154,H154)-1)))</f>
        <v/>
      </c>
      <c r="J154" s="41"/>
      <c r="K154" s="36" t="str">
        <f t="shared" si="85"/>
        <v/>
      </c>
      <c r="L154" t="str">
        <f t="shared" si="86"/>
        <v/>
      </c>
      <c r="M154" s="117" t="str">
        <f t="shared" si="87"/>
        <v/>
      </c>
      <c r="N154" s="112" t="str">
        <f t="shared" si="88"/>
        <v/>
      </c>
      <c r="O154" s="96" t="str">
        <f t="shared" si="89"/>
        <v/>
      </c>
      <c r="P154" s="96" t="str">
        <f t="shared" si="90"/>
        <v/>
      </c>
      <c r="Q154" s="96" t="str">
        <f t="shared" si="91"/>
        <v/>
      </c>
      <c r="R154" s="92" t="str">
        <f t="shared" si="92"/>
        <v/>
      </c>
      <c r="S154" s="42" t="str">
        <f t="shared" si="93"/>
        <v/>
      </c>
      <c r="T154" s="167" t="str">
        <f>IF(L154="","",VLOOKUP(L154,classifications!C:K,9,FALSE))</f>
        <v/>
      </c>
      <c r="U154" s="168" t="str">
        <f t="shared" si="94"/>
        <v/>
      </c>
      <c r="V154" s="174" t="str">
        <f>IF(U154="","",IF($I$8="A",(RANK(U154,U$11:U$343)+COUNTIF(U$11:U154,U154)-1),(RANK(U154,U$11:U$343,1)+COUNTIF(U$11:U154,U154)-1)))</f>
        <v/>
      </c>
      <c r="W154" s="175"/>
      <c r="X154" s="5" t="str">
        <f>IF(L154="","",VLOOKUP($L154,classifications!$C:$J,6,FALSE))</f>
        <v/>
      </c>
      <c r="Y154" t="str">
        <f t="shared" si="95"/>
        <v/>
      </c>
      <c r="Z154" s="40" t="str">
        <f>IF(Y154="","",IF(I$8="A",(RANK(Y154,Y$11:Y$343,1)+COUNTIF(Y$11:Y154,Y154)-1),(RANK(Y154,Y$11:Y$343)+COUNTIF(Y$11:Y154,Y154)-1)))</f>
        <v/>
      </c>
      <c r="AA154" s="180" t="str">
        <f>IF(L154="","",VLOOKUP($L154,classifications!C:I,7,FALSE))</f>
        <v/>
      </c>
      <c r="AB154" s="174" t="str">
        <f t="shared" si="96"/>
        <v/>
      </c>
      <c r="AC154" s="174" t="str">
        <f>IF(AB154="","",IF($I$8="A",(RANK(AB154,AB$11:AB$343)+COUNTIF(AB$11:AB154,AB154)-1),(RANK(AB154,AB$11:AB$343,1)+COUNTIF(AB$11:AB154,AB154)-1)))</f>
        <v/>
      </c>
      <c r="AD154" s="174"/>
      <c r="AE154" s="36" t="str">
        <f t="shared" si="97"/>
        <v/>
      </c>
      <c r="AG154" s="15"/>
      <c r="AH154" s="3"/>
      <c r="AI154" s="5" t="str">
        <f>IF(L154="","",VLOOKUP($L154,classifications!$C:$J,8,FALSE))</f>
        <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827</v>
      </c>
    </row>
    <row r="155" spans="1:50">
      <c r="A155" s="59" t="str">
        <f>$D$1&amp;145</f>
        <v>UA145</v>
      </c>
      <c r="B155" s="60">
        <f>IF(ISERROR(VLOOKUP(A157,classifications!A:C,3,FALSE)),0,VLOOKUP(A157,classifications!A:C,3,FALSE))</f>
        <v>0</v>
      </c>
      <c r="C155" t="s">
        <v>212</v>
      </c>
      <c r="D155" t="str">
        <f>VLOOKUP($C155,classifications!$C:$J,4,FALSE)</f>
        <v>L</v>
      </c>
      <c r="E155">
        <f>VLOOKUP(C155,classifications!C:K,9,FALSE)</f>
        <v>0</v>
      </c>
      <c r="F155">
        <f t="shared" si="83"/>
        <v>349</v>
      </c>
      <c r="G155" s="15"/>
      <c r="H155" s="42" t="str">
        <f t="shared" si="84"/>
        <v/>
      </c>
      <c r="I155" s="79" t="str">
        <f>IF(H155="","",IF($I$8="A",(RANK(H155,H$11:H$343,1)+COUNTIF(H$11:H155,H155)-1),(RANK(H155,H$11:H$343)+COUNTIF(H$11:H155,H155)-1)))</f>
        <v/>
      </c>
      <c r="J155" s="41"/>
      <c r="K155" s="36" t="str">
        <f t="shared" si="85"/>
        <v/>
      </c>
      <c r="L155" t="str">
        <f t="shared" si="86"/>
        <v/>
      </c>
      <c r="M155" s="117" t="str">
        <f t="shared" si="87"/>
        <v/>
      </c>
      <c r="N155" s="112" t="str">
        <f t="shared" si="88"/>
        <v/>
      </c>
      <c r="O155" s="96" t="str">
        <f t="shared" si="89"/>
        <v/>
      </c>
      <c r="P155" s="96" t="str">
        <f t="shared" si="90"/>
        <v/>
      </c>
      <c r="Q155" s="96" t="str">
        <f t="shared" si="91"/>
        <v/>
      </c>
      <c r="R155" s="92" t="str">
        <f t="shared" si="92"/>
        <v/>
      </c>
      <c r="S155" s="42" t="str">
        <f t="shared" si="93"/>
        <v/>
      </c>
      <c r="T155" s="167" t="str">
        <f>IF(L155="","",VLOOKUP(L155,classifications!C:K,9,FALSE))</f>
        <v/>
      </c>
      <c r="U155" s="168" t="str">
        <f t="shared" si="94"/>
        <v/>
      </c>
      <c r="V155" s="174" t="str">
        <f>IF(U155="","",IF($I$8="A",(RANK(U155,U$11:U$343)+COUNTIF(U$11:U155,U155)-1),(RANK(U155,U$11:U$343,1)+COUNTIF(U$11:U155,U155)-1)))</f>
        <v/>
      </c>
      <c r="W155" s="175"/>
      <c r="X155" s="5" t="str">
        <f>IF(L155="","",VLOOKUP($L155,classifications!$C:$J,6,FALSE))</f>
        <v/>
      </c>
      <c r="Y155" t="str">
        <f t="shared" si="95"/>
        <v/>
      </c>
      <c r="Z155" s="40" t="str">
        <f>IF(Y155="","",IF(I$8="A",(RANK(Y155,Y$11:Y$343,1)+COUNTIF(Y$11:Y155,Y155)-1),(RANK(Y155,Y$11:Y$343)+COUNTIF(Y$11:Y155,Y155)-1)))</f>
        <v/>
      </c>
      <c r="AA155" s="180" t="str">
        <f>IF(L155="","",VLOOKUP($L155,classifications!C:I,7,FALSE))</f>
        <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f>HLOOKUP($AX$9&amp;$AX$10,Data!$A$1:$ZZ$1980,(MATCH($C155,Data!$A$1:$A$1980,0)),FALSE)</f>
        <v>349</v>
      </c>
    </row>
    <row r="156" spans="1:50">
      <c r="A156" s="59" t="str">
        <f>$D$1&amp;146</f>
        <v>UA146</v>
      </c>
      <c r="B156" s="60">
        <f>IF(ISERROR(VLOOKUP(A158,classifications!A:C,3,FALSE)),0,VLOOKUP(A158,classifications!A:C,3,FALSE))</f>
        <v>0</v>
      </c>
      <c r="C156" t="s">
        <v>338</v>
      </c>
      <c r="D156" t="str">
        <f>VLOOKUP($C156,classifications!$C:$J,4,FALSE)</f>
        <v>L</v>
      </c>
      <c r="E156">
        <f>VLOOKUP(C156,classifications!C:K,9,FALSE)</f>
        <v>0</v>
      </c>
      <c r="F156">
        <f t="shared" si="83"/>
        <v>381.2</v>
      </c>
      <c r="G156" s="15"/>
      <c r="H156" s="42" t="str">
        <f t="shared" si="84"/>
        <v/>
      </c>
      <c r="I156" s="79" t="str">
        <f>IF(H156="","",IF($I$8="A",(RANK(H156,H$11:H$343,1)+COUNTIF(H$11:H156,H156)-1),(RANK(H156,H$11:H$343)+COUNTIF(H$11:H156,H156)-1)))</f>
        <v/>
      </c>
      <c r="J156" s="41"/>
      <c r="K156" s="36" t="str">
        <f t="shared" si="85"/>
        <v/>
      </c>
      <c r="L156" t="str">
        <f t="shared" si="86"/>
        <v/>
      </c>
      <c r="M156" s="117" t="str">
        <f t="shared" si="87"/>
        <v/>
      </c>
      <c r="N156" s="112" t="str">
        <f t="shared" si="88"/>
        <v/>
      </c>
      <c r="O156" s="96" t="str">
        <f t="shared" si="89"/>
        <v/>
      </c>
      <c r="P156" s="96" t="str">
        <f t="shared" si="90"/>
        <v/>
      </c>
      <c r="Q156" s="96" t="str">
        <f t="shared" si="91"/>
        <v/>
      </c>
      <c r="R156" s="92" t="str">
        <f t="shared" si="92"/>
        <v/>
      </c>
      <c r="S156" s="42" t="str">
        <f t="shared" si="93"/>
        <v/>
      </c>
      <c r="T156" s="167" t="str">
        <f>IF(L156="","",VLOOKUP(L156,classifications!C:K,9,FALSE))</f>
        <v/>
      </c>
      <c r="U156" s="168" t="str">
        <f t="shared" si="94"/>
        <v/>
      </c>
      <c r="V156" s="174" t="str">
        <f>IF(U156="","",IF($I$8="A",(RANK(U156,U$11:U$343)+COUNTIF(U$11:U156,U156)-1),(RANK(U156,U$11:U$343,1)+COUNTIF(U$11:U156,U156)-1)))</f>
        <v/>
      </c>
      <c r="W156" s="175"/>
      <c r="X156" s="5" t="str">
        <f>IF(L156="","",VLOOKUP($L156,classifications!$C:$J,6,FALSE))</f>
        <v/>
      </c>
      <c r="Y156" t="str">
        <f t="shared" si="95"/>
        <v/>
      </c>
      <c r="Z156" s="40" t="str">
        <f>IF(Y156="","",IF(I$8="A",(RANK(Y156,Y$11:Y$343,1)+COUNTIF(Y$11:Y156,Y156)-1),(RANK(Y156,Y$11:Y$343)+COUNTIF(Y$11:Y156,Y156)-1)))</f>
        <v/>
      </c>
      <c r="AA156" s="180" t="str">
        <f>IF(L156="","",VLOOKUP($L156,classifications!C:I,7,FALSE))</f>
        <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f>HLOOKUP($AX$9&amp;$AX$10,Data!$A$1:$ZZ$1980,(MATCH($C156,Data!$A$1:$A$1980,0)),FALSE)</f>
        <v>381.2</v>
      </c>
    </row>
    <row r="157" spans="1:50">
      <c r="A157" s="59" t="str">
        <f>$D$1&amp;147</f>
        <v>UA147</v>
      </c>
      <c r="B157" s="60">
        <f>IF(ISERROR(VLOOKUP(A159,classifications!A:C,3,FALSE)),0,VLOOKUP(A159,classifications!A:C,3,FALSE))</f>
        <v>0</v>
      </c>
      <c r="C157" t="s">
        <v>316</v>
      </c>
      <c r="D157" t="str">
        <f>VLOOKUP($C157,classifications!$C:$J,4,FALSE)</f>
        <v>SC</v>
      </c>
      <c r="E157">
        <f>VLOOKUP(C157,classifications!C:K,9,FALSE)</f>
        <v>0</v>
      </c>
      <c r="F157">
        <f t="shared" si="83"/>
        <v>530.70000000000005</v>
      </c>
      <c r="G157" s="15"/>
      <c r="H157" s="42" t="str">
        <f t="shared" si="84"/>
        <v/>
      </c>
      <c r="I157" s="79" t="str">
        <f>IF(H157="","",IF($I$8="A",(RANK(H157,H$11:H$343,1)+COUNTIF(H$11:H157,H157)-1),(RANK(H157,H$11:H$343)+COUNTIF(H$11:H157,H157)-1)))</f>
        <v/>
      </c>
      <c r="J157" s="41"/>
      <c r="K157" s="36" t="str">
        <f t="shared" si="85"/>
        <v/>
      </c>
      <c r="L157" t="str">
        <f t="shared" si="86"/>
        <v/>
      </c>
      <c r="M157" s="117" t="str">
        <f t="shared" si="87"/>
        <v/>
      </c>
      <c r="N157" s="112" t="str">
        <f t="shared" si="88"/>
        <v/>
      </c>
      <c r="O157" s="96" t="str">
        <f t="shared" si="89"/>
        <v/>
      </c>
      <c r="P157" s="96" t="str">
        <f t="shared" si="90"/>
        <v/>
      </c>
      <c r="Q157" s="96" t="str">
        <f t="shared" si="91"/>
        <v/>
      </c>
      <c r="R157" s="92" t="str">
        <f t="shared" si="92"/>
        <v/>
      </c>
      <c r="S157" s="42" t="str">
        <f t="shared" si="93"/>
        <v/>
      </c>
      <c r="T157" s="167" t="str">
        <f>IF(L157="","",VLOOKUP(L157,classifications!C:K,9,FALSE))</f>
        <v/>
      </c>
      <c r="U157" s="168" t="str">
        <f t="shared" si="94"/>
        <v/>
      </c>
      <c r="V157" s="174" t="str">
        <f>IF(U157="","",IF($I$8="A",(RANK(U157,U$11:U$343)+COUNTIF(U$11:U157,U157)-1),(RANK(U157,U$11:U$343,1)+COUNTIF(U$11:U157,U157)-1)))</f>
        <v/>
      </c>
      <c r="W157" s="175"/>
      <c r="X157" s="5" t="str">
        <f>IF(L157="","",VLOOKUP($L157,classifications!$C:$J,6,FALSE))</f>
        <v/>
      </c>
      <c r="Y157" t="str">
        <f t="shared" si="95"/>
        <v/>
      </c>
      <c r="Z157" s="40" t="str">
        <f>IF(Y157="","",IF(I$8="A",(RANK(Y157,Y$11:Y$343,1)+COUNTIF(Y$11:Y157,Y157)-1),(RANK(Y157,Y$11:Y$343)+COUNTIF(Y$11:Y157,Y157)-1)))</f>
        <v/>
      </c>
      <c r="AA157" s="180" t="str">
        <f>IF(L157="","",VLOOKUP($L157,classifications!C:I,7,FALSE))</f>
        <v/>
      </c>
      <c r="AB157" s="174" t="str">
        <f t="shared" si="96"/>
        <v/>
      </c>
      <c r="AC157" s="174" t="str">
        <f>IF(AB157="","",IF($I$8="A",(RANK(AB157,AB$11:AB$343)+COUNTIF(AB$11:AB157,AB157)-1),(RANK(AB157,AB$11:AB$343,1)+COUNTIF(AB$11:AB157,AB157)-1)))</f>
        <v/>
      </c>
      <c r="AD157" s="174"/>
      <c r="AE157" s="36" t="str">
        <f t="shared" si="97"/>
        <v/>
      </c>
      <c r="AG157" s="15"/>
      <c r="AH157" s="3"/>
      <c r="AI157" s="5" t="str">
        <f>IF(L157="","",VLOOKUP($L157,classifications!$C:$J,8,FALSE))</f>
        <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530.70000000000005</v>
      </c>
    </row>
    <row r="158" spans="1:50">
      <c r="A158" s="59" t="str">
        <f>$D$1&amp;148</f>
        <v>UA148</v>
      </c>
      <c r="B158" s="60">
        <f>IF(ISERROR(VLOOKUP(A161,classifications!A:C,3,FALSE)),0,VLOOKUP(A161,classifications!A:C,3,FALSE))</f>
        <v>0</v>
      </c>
      <c r="C158" t="s">
        <v>378</v>
      </c>
      <c r="D158" t="str">
        <f>VLOOKUP($C158,classifications!$C:$J,4,FALSE)</f>
        <v>SD</v>
      </c>
      <c r="E158" t="str">
        <f>VLOOKUP(C158,classifications!C:K,9,FALSE)</f>
        <v>Sparse</v>
      </c>
      <c r="F158">
        <f t="shared" si="83"/>
        <v>464.5</v>
      </c>
      <c r="G158" s="15"/>
      <c r="H158" s="42" t="str">
        <f t="shared" si="84"/>
        <v/>
      </c>
      <c r="I158" s="79" t="str">
        <f>IF(H158="","",IF($I$8="A",(RANK(H158,H$11:H$343,1)+COUNTIF(H$11:H158,H158)-1),(RANK(H158,H$11:H$343)+COUNTIF(H$11:H158,H158)-1)))</f>
        <v/>
      </c>
      <c r="J158" s="41"/>
      <c r="K158" s="36" t="str">
        <f t="shared" si="85"/>
        <v/>
      </c>
      <c r="L158" t="str">
        <f t="shared" si="86"/>
        <v/>
      </c>
      <c r="M158" s="117" t="str">
        <f t="shared" si="87"/>
        <v/>
      </c>
      <c r="N158" s="112" t="str">
        <f t="shared" si="88"/>
        <v/>
      </c>
      <c r="O158" s="96" t="str">
        <f t="shared" si="89"/>
        <v/>
      </c>
      <c r="P158" s="96" t="str">
        <f t="shared" si="90"/>
        <v/>
      </c>
      <c r="Q158" s="96" t="str">
        <f t="shared" si="91"/>
        <v/>
      </c>
      <c r="R158" s="92" t="str">
        <f t="shared" si="92"/>
        <v/>
      </c>
      <c r="S158" s="42" t="str">
        <f t="shared" si="93"/>
        <v/>
      </c>
      <c r="T158" s="167" t="str">
        <f>IF(L158="","",VLOOKUP(L158,classifications!C:K,9,FALSE))</f>
        <v/>
      </c>
      <c r="U158" s="168" t="str">
        <f t="shared" si="94"/>
        <v/>
      </c>
      <c r="V158" s="174" t="str">
        <f>IF(U158="","",IF($I$8="A",(RANK(U158,U$11:U$343)+COUNTIF(U$11:U158,U158)-1),(RANK(U158,U$11:U$343,1)+COUNTIF(U$11:U158,U158)-1)))</f>
        <v/>
      </c>
      <c r="W158" s="175"/>
      <c r="X158" s="5" t="str">
        <f>IF(L158="","",VLOOKUP($L158,classifications!$C:$J,6,FALSE))</f>
        <v/>
      </c>
      <c r="Y158" t="str">
        <f t="shared" si="95"/>
        <v/>
      </c>
      <c r="Z158" s="40" t="str">
        <f>IF(Y158="","",IF(I$8="A",(RANK(Y158,Y$11:Y$343,1)+COUNTIF(Y$11:Y158,Y158)-1),(RANK(Y158,Y$11:Y$343)+COUNTIF(Y$11:Y158,Y158)-1)))</f>
        <v/>
      </c>
      <c r="AA158" s="180" t="str">
        <f>IF(L158="","",VLOOKUP($L158,classifications!C:I,7,FALSE))</f>
        <v/>
      </c>
      <c r="AB158" s="174" t="str">
        <f t="shared" si="96"/>
        <v/>
      </c>
      <c r="AC158" s="174" t="str">
        <f>IF(AB158="","",IF($I$8="A",(RANK(AB158,AB$11:AB$343)+COUNTIF(AB$11:AB158,AB158)-1),(RANK(AB158,AB$11:AB$343,1)+COUNTIF(AB$11:AB158,AB158)-1)))</f>
        <v/>
      </c>
      <c r="AD158" s="174"/>
      <c r="AE158" s="36" t="str">
        <f t="shared" si="97"/>
        <v/>
      </c>
      <c r="AG158" s="15"/>
      <c r="AH158" s="3"/>
      <c r="AI158" s="5" t="str">
        <f>IF(L158="","",VLOOKUP($L158,classifications!$C:$J,8,FALSE))</f>
        <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f>HLOOKUP($AX$9&amp;$AX$10,Data!$A$1:$ZZ$1980,(MATCH($C158,Data!$A$1:$A$1980,0)),FALSE)</f>
        <v>464.5</v>
      </c>
    </row>
    <row r="159" spans="1:50">
      <c r="A159" s="59" t="str">
        <f>$D$1&amp;149</f>
        <v>UA149</v>
      </c>
      <c r="B159" s="60">
        <f>IF(ISERROR(VLOOKUP(A162,classifications!A:C,3,FALSE)),0,VLOOKUP(A162,classifications!A:C,3,FALSE))</f>
        <v>0</v>
      </c>
      <c r="C159" t="s">
        <v>819</v>
      </c>
      <c r="D159" t="str">
        <f>VLOOKUP($C159,classifications!$C:$J,4,FALSE)</f>
        <v>UA</v>
      </c>
      <c r="E159">
        <f>VLOOKUP(C159,classifications!C:K,9,FALSE)</f>
        <v>0</v>
      </c>
      <c r="F159">
        <f t="shared" si="83"/>
        <v>444.1</v>
      </c>
      <c r="G159" s="15"/>
      <c r="H159" s="42">
        <f t="shared" si="84"/>
        <v>444.1</v>
      </c>
      <c r="I159" s="79">
        <f>IF(H159="","",IF($I$8="A",(RANK(H159,H$11:H$343,1)+COUNTIF(H$11:H159,H159)-1),(RANK(H159,H$11:H$343)+COUNTIF(H$11:H159,H159)-1)))</f>
        <v>12</v>
      </c>
      <c r="J159" s="41"/>
      <c r="K159" s="36" t="str">
        <f t="shared" si="85"/>
        <v/>
      </c>
      <c r="L159" t="str">
        <f t="shared" si="86"/>
        <v/>
      </c>
      <c r="M159" s="117" t="str">
        <f t="shared" si="87"/>
        <v/>
      </c>
      <c r="N159" s="112" t="str">
        <f t="shared" si="88"/>
        <v/>
      </c>
      <c r="O159" s="96" t="str">
        <f t="shared" si="89"/>
        <v/>
      </c>
      <c r="P159" s="96" t="str">
        <f t="shared" si="90"/>
        <v/>
      </c>
      <c r="Q159" s="96" t="str">
        <f t="shared" si="91"/>
        <v/>
      </c>
      <c r="R159" s="92" t="str">
        <f t="shared" si="92"/>
        <v/>
      </c>
      <c r="S159" s="42" t="str">
        <f t="shared" si="93"/>
        <v/>
      </c>
      <c r="T159" s="167" t="str">
        <f>IF(L159="","",VLOOKUP(L159,classifications!C:K,9,FALSE))</f>
        <v/>
      </c>
      <c r="U159" s="168" t="str">
        <f t="shared" si="94"/>
        <v/>
      </c>
      <c r="V159" s="174" t="str">
        <f>IF(U159="","",IF($I$8="A",(RANK(U159,U$11:U$343)+COUNTIF(U$11:U159,U159)-1),(RANK(U159,U$11:U$343,1)+COUNTIF(U$11:U159,U159)-1)))</f>
        <v/>
      </c>
      <c r="W159" s="175"/>
      <c r="X159" s="5" t="str">
        <f>IF(L159="","",VLOOKUP($L159,classifications!$C:$J,6,FALSE))</f>
        <v/>
      </c>
      <c r="Y159" t="str">
        <f t="shared" si="95"/>
        <v/>
      </c>
      <c r="Z159" s="40" t="str">
        <f>IF(Y159="","",IF(I$8="A",(RANK(Y159,Y$11:Y$343,1)+COUNTIF(Y$11:Y159,Y159)-1),(RANK(Y159,Y$11:Y$343)+COUNTIF(Y$11:Y159,Y159)-1)))</f>
        <v/>
      </c>
      <c r="AA159" s="180" t="str">
        <f>IF(L159="","",VLOOKUP($L159,classifications!C:I,7,FALSE))</f>
        <v/>
      </c>
      <c r="AB159" s="174" t="str">
        <f t="shared" si="96"/>
        <v/>
      </c>
      <c r="AC159" s="174" t="str">
        <f>IF(AB159="","",IF($I$8="A",(RANK(AB159,AB$11:AB$343)+COUNTIF(AB$11:AB159,AB159)-1),(RANK(AB159,AB$11:AB$343,1)+COUNTIF(AB$11:AB159,AB159)-1)))</f>
        <v/>
      </c>
      <c r="AD159" s="174"/>
      <c r="AE159" s="36" t="str">
        <f t="shared" si="97"/>
        <v/>
      </c>
      <c r="AG159" s="15"/>
      <c r="AH159" s="3"/>
      <c r="AI159" s="5" t="str">
        <f>IF(L159="","",VLOOKUP($L159,classifications!$C:$J,8,FALSE))</f>
        <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f>HLOOKUP($AX$9&amp;$AX$10,Data!$A$1:$ZZ$1980,(MATCH($C159,Data!$A$1:$A$1980,0)),FALSE)</f>
        <v>444.1</v>
      </c>
    </row>
    <row r="160" spans="1:50">
      <c r="A160" s="59" t="str">
        <f>$D$1&amp;150</f>
        <v>UA150</v>
      </c>
      <c r="B160" s="60">
        <f>IF(ISERROR(VLOOKUP(A163,classifications!A:C,3,FALSE)),0,VLOOKUP(A163,classifications!A:C,3,FALSE))</f>
        <v>0</v>
      </c>
      <c r="C160" t="s">
        <v>394</v>
      </c>
      <c r="D160" t="str">
        <f>VLOOKUP($C160,classifications!$C:$J,4,FALSE)</f>
        <v>L</v>
      </c>
      <c r="E160">
        <f>VLOOKUP(C160,classifications!C:K,9,FALSE)</f>
        <v>0</v>
      </c>
      <c r="F160">
        <f t="shared" si="83"/>
        <v>423.8</v>
      </c>
      <c r="G160" s="15"/>
      <c r="H160" s="42" t="str">
        <f t="shared" si="84"/>
        <v/>
      </c>
      <c r="I160" s="79" t="str">
        <f>IF(H160="","",IF($I$8="A",(RANK(H160,H$11:H$343,1)+COUNTIF(H$11:H160,H160)-1),(RANK(H160,H$11:H$343)+COUNTIF(H$11:H160,H160)-1)))</f>
        <v/>
      </c>
      <c r="J160" s="41"/>
      <c r="K160" s="36" t="str">
        <f t="shared" si="85"/>
        <v/>
      </c>
      <c r="L160" t="str">
        <f t="shared" si="86"/>
        <v/>
      </c>
      <c r="M160" s="117" t="str">
        <f t="shared" si="87"/>
        <v/>
      </c>
      <c r="N160" s="112" t="str">
        <f t="shared" si="88"/>
        <v/>
      </c>
      <c r="O160" s="96" t="str">
        <f t="shared" si="89"/>
        <v/>
      </c>
      <c r="P160" s="96" t="str">
        <f t="shared" si="90"/>
        <v/>
      </c>
      <c r="Q160" s="96" t="str">
        <f t="shared" si="91"/>
        <v/>
      </c>
      <c r="R160" s="92" t="str">
        <f t="shared" si="92"/>
        <v/>
      </c>
      <c r="S160" s="42" t="str">
        <f t="shared" si="93"/>
        <v/>
      </c>
      <c r="T160" s="167" t="str">
        <f>IF(L160="","",VLOOKUP(L160,classifications!C:K,9,FALSE))</f>
        <v/>
      </c>
      <c r="U160" s="168" t="str">
        <f t="shared" si="94"/>
        <v/>
      </c>
      <c r="V160" s="174" t="str">
        <f>IF(U160="","",IF($I$8="A",(RANK(U160,U$11:U$343)+COUNTIF(U$11:U160,U160)-1),(RANK(U160,U$11:U$343,1)+COUNTIF(U$11:U160,U160)-1)))</f>
        <v/>
      </c>
      <c r="W160" s="175"/>
      <c r="X160" s="5" t="str">
        <f>IF(L160="","",VLOOKUP($L160,classifications!$C:$J,6,FALSE))</f>
        <v/>
      </c>
      <c r="Y160" t="str">
        <f t="shared" si="95"/>
        <v/>
      </c>
      <c r="Z160" s="40" t="str">
        <f>IF(Y160="","",IF(I$8="A",(RANK(Y160,Y$11:Y$343,1)+COUNTIF(Y$11:Y160,Y160)-1),(RANK(Y160,Y$11:Y$343)+COUNTIF(Y$11:Y160,Y160)-1)))</f>
        <v/>
      </c>
      <c r="AA160" s="180" t="str">
        <f>IF(L160="","",VLOOKUP($L160,classifications!C:I,7,FALSE))</f>
        <v/>
      </c>
      <c r="AB160" s="174" t="str">
        <f t="shared" si="96"/>
        <v/>
      </c>
      <c r="AC160" s="174" t="str">
        <f>IF(AB160="","",IF($I$8="A",(RANK(AB160,AB$11:AB$343)+COUNTIF(AB$11:AB160,AB160)-1),(RANK(AB160,AB$11:AB$343,1)+COUNTIF(AB$11:AB160,AB160)-1)))</f>
        <v/>
      </c>
      <c r="AD160" s="174"/>
      <c r="AE160" s="36" t="str">
        <f t="shared" si="97"/>
        <v/>
      </c>
      <c r="AG160" s="15"/>
      <c r="AH160" s="3"/>
      <c r="AI160" s="5" t="str">
        <f>IF(L160="","",VLOOKUP($L160,classifications!$C:$J,8,FALSE))</f>
        <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423.8</v>
      </c>
    </row>
    <row r="161" spans="1:50">
      <c r="A161" s="59" t="str">
        <f>$D$1&amp;151</f>
        <v>UA151</v>
      </c>
      <c r="B161" s="60">
        <f>IF(ISERROR(VLOOKUP(A164,classifications!A:C,3,FALSE)),0,VLOOKUP(A164,classifications!A:C,3,FALSE))</f>
        <v>0</v>
      </c>
      <c r="C161" t="s">
        <v>233</v>
      </c>
      <c r="D161" t="str">
        <f>VLOOKUP($C161,classifications!$C:$J,4,FALSE)</f>
        <v>MD</v>
      </c>
      <c r="E161">
        <f>VLOOKUP(C161,classifications!C:K,9,FALSE)</f>
        <v>0</v>
      </c>
      <c r="F161">
        <f t="shared" si="83"/>
        <v>599.70000000000005</v>
      </c>
      <c r="G161" s="15"/>
      <c r="H161" s="42" t="str">
        <f t="shared" si="84"/>
        <v/>
      </c>
      <c r="I161" s="79" t="str">
        <f>IF(H161="","",IF($I$8="A",(RANK(H161,H$11:H$343,1)+COUNTIF(H$11:H161,H161)-1),(RANK(H161,H$11:H$343)+COUNTIF(H$11:H161,H161)-1)))</f>
        <v/>
      </c>
      <c r="J161" s="41"/>
      <c r="K161" s="36" t="str">
        <f t="shared" si="85"/>
        <v/>
      </c>
      <c r="L161" t="str">
        <f t="shared" si="86"/>
        <v/>
      </c>
      <c r="M161" s="117" t="str">
        <f t="shared" si="87"/>
        <v/>
      </c>
      <c r="N161" s="112" t="str">
        <f t="shared" si="88"/>
        <v/>
      </c>
      <c r="O161" s="96" t="str">
        <f t="shared" si="89"/>
        <v/>
      </c>
      <c r="P161" s="96" t="str">
        <f t="shared" si="90"/>
        <v/>
      </c>
      <c r="Q161" s="96" t="str">
        <f t="shared" si="91"/>
        <v/>
      </c>
      <c r="R161" s="92" t="str">
        <f t="shared" si="92"/>
        <v/>
      </c>
      <c r="S161" s="42" t="str">
        <f t="shared" si="93"/>
        <v/>
      </c>
      <c r="T161" s="167" t="str">
        <f>IF(L161="","",VLOOKUP(L161,classifications!C:K,9,FALSE))</f>
        <v/>
      </c>
      <c r="U161" s="168" t="str">
        <f t="shared" si="94"/>
        <v/>
      </c>
      <c r="V161" s="174" t="str">
        <f>IF(U161="","",IF($I$8="A",(RANK(U161,U$11:U$343)+COUNTIF(U$11:U161,U161)-1),(RANK(U161,U$11:U$343,1)+COUNTIF(U$11:U161,U161)-1)))</f>
        <v/>
      </c>
      <c r="W161" s="175"/>
      <c r="X161" s="5" t="str">
        <f>IF(L161="","",VLOOKUP($L161,classifications!$C:$J,6,FALSE))</f>
        <v/>
      </c>
      <c r="Y161" t="str">
        <f t="shared" si="95"/>
        <v/>
      </c>
      <c r="Z161" s="40" t="str">
        <f>IF(Y161="","",IF(I$8="A",(RANK(Y161,Y$11:Y$343,1)+COUNTIF(Y$11:Y161,Y161)-1),(RANK(Y161,Y$11:Y$343)+COUNTIF(Y$11:Y161,Y161)-1)))</f>
        <v/>
      </c>
      <c r="AA161" s="180" t="str">
        <f>IF(L161="","",VLOOKUP($L161,classifications!C:I,7,FALSE))</f>
        <v/>
      </c>
      <c r="AB161" s="174" t="str">
        <f t="shared" si="96"/>
        <v/>
      </c>
      <c r="AC161" s="174" t="str">
        <f>IF(AB161="","",IF($I$8="A",(RANK(AB161,AB$11:AB$343)+COUNTIF(AB$11:AB161,AB161)-1),(RANK(AB161,AB$11:AB$343,1)+COUNTIF(AB$11:AB161,AB161)-1)))</f>
        <v/>
      </c>
      <c r="AD161" s="174"/>
      <c r="AE161" s="36" t="str">
        <f t="shared" si="97"/>
        <v/>
      </c>
      <c r="AG161" s="15"/>
      <c r="AH161" s="3"/>
      <c r="AI161" s="5" t="str">
        <f>IF(L161="","",VLOOKUP($L161,classifications!$C:$J,8,FALSE))</f>
        <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599.70000000000005</v>
      </c>
    </row>
    <row r="162" spans="1:50">
      <c r="A162" s="59" t="str">
        <f>$D$1&amp;152</f>
        <v>UA152</v>
      </c>
      <c r="B162" s="60">
        <f>IF(ISERROR(VLOOKUP(A165,classifications!A:C,3,FALSE)),0,VLOOKUP(A165,classifications!A:C,3,FALSE))</f>
        <v>0</v>
      </c>
      <c r="C162" t="s">
        <v>234</v>
      </c>
      <c r="D162" t="str">
        <f>VLOOKUP($C162,classifications!$C:$J,4,FALSE)</f>
        <v>MD</v>
      </c>
      <c r="E162">
        <f>VLOOKUP(C162,classifications!C:K,9,FALSE)</f>
        <v>0</v>
      </c>
      <c r="F162">
        <f t="shared" si="83"/>
        <v>616.1</v>
      </c>
      <c r="G162" s="15"/>
      <c r="H162" s="42" t="str">
        <f t="shared" si="84"/>
        <v/>
      </c>
      <c r="I162" s="79" t="str">
        <f>IF(H162="","",IF($I$8="A",(RANK(H162,H$11:H$343,1)+COUNTIF(H$11:H162,H162)-1),(RANK(H162,H$11:H$343)+COUNTIF(H$11:H162,H162)-1)))</f>
        <v/>
      </c>
      <c r="J162" s="41"/>
      <c r="K162" s="36" t="str">
        <f t="shared" si="85"/>
        <v/>
      </c>
      <c r="L162" t="str">
        <f t="shared" si="86"/>
        <v/>
      </c>
      <c r="M162" s="117" t="str">
        <f t="shared" si="87"/>
        <v/>
      </c>
      <c r="N162" s="112" t="str">
        <f t="shared" si="88"/>
        <v/>
      </c>
      <c r="O162" s="96" t="str">
        <f t="shared" si="89"/>
        <v/>
      </c>
      <c r="P162" s="96" t="str">
        <f t="shared" si="90"/>
        <v/>
      </c>
      <c r="Q162" s="96" t="str">
        <f t="shared" si="91"/>
        <v/>
      </c>
      <c r="R162" s="92" t="str">
        <f t="shared" si="92"/>
        <v/>
      </c>
      <c r="S162" s="42" t="str">
        <f t="shared" si="93"/>
        <v/>
      </c>
      <c r="T162" s="167" t="str">
        <f>IF(L162="","",VLOOKUP(L162,classifications!C:K,9,FALSE))</f>
        <v/>
      </c>
      <c r="U162" s="168" t="str">
        <f t="shared" si="94"/>
        <v/>
      </c>
      <c r="V162" s="174" t="str">
        <f>IF(U162="","",IF($I$8="A",(RANK(U162,U$11:U$343)+COUNTIF(U$11:U162,U162)-1),(RANK(U162,U$11:U$343,1)+COUNTIF(U$11:U162,U162)-1)))</f>
        <v/>
      </c>
      <c r="W162" s="175"/>
      <c r="X162" s="5" t="str">
        <f>IF(L162="","",VLOOKUP($L162,classifications!$C:$J,6,FALSE))</f>
        <v/>
      </c>
      <c r="Y162" t="str">
        <f t="shared" si="95"/>
        <v/>
      </c>
      <c r="Z162" s="40" t="str">
        <f>IF(Y162="","",IF(I$8="A",(RANK(Y162,Y$11:Y$343,1)+COUNTIF(Y$11:Y162,Y162)-1),(RANK(Y162,Y$11:Y$343)+COUNTIF(Y$11:Y162,Y162)-1)))</f>
        <v/>
      </c>
      <c r="AA162" s="180" t="str">
        <f>IF(L162="","",VLOOKUP($L162,classifications!C:I,7,FALSE))</f>
        <v/>
      </c>
      <c r="AB162" s="174" t="str">
        <f t="shared" si="96"/>
        <v/>
      </c>
      <c r="AC162" s="174" t="str">
        <f>IF(AB162="","",IF($I$8="A",(RANK(AB162,AB$11:AB$343)+COUNTIF(AB$11:AB162,AB162)-1),(RANK(AB162,AB$11:AB$343,1)+COUNTIF(AB$11:AB162,AB162)-1)))</f>
        <v/>
      </c>
      <c r="AD162" s="174"/>
      <c r="AE162" s="36" t="str">
        <f t="shared" si="97"/>
        <v/>
      </c>
      <c r="AG162" s="15"/>
      <c r="AH162" s="3"/>
      <c r="AI162" s="5" t="str">
        <f>IF(L162="","",VLOOKUP($L162,classifications!$C:$J,8,FALSE))</f>
        <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f>HLOOKUP($AX$9&amp;$AX$10,Data!$A$1:$ZZ$1980,(MATCH($C162,Data!$A$1:$A$1980,0)),FALSE)</f>
        <v>616.1</v>
      </c>
    </row>
    <row r="163" spans="1:50">
      <c r="A163" s="59" t="str">
        <f>$D$1&amp;153</f>
        <v>UA153</v>
      </c>
      <c r="B163" s="60">
        <f>IF(ISERROR(VLOOKUP(A166,classifications!A:C,3,FALSE)),0,VLOOKUP(A166,classifications!A:C,3,FALSE))</f>
        <v>0</v>
      </c>
      <c r="C163" t="s">
        <v>213</v>
      </c>
      <c r="D163" t="str">
        <f>VLOOKUP($C163,classifications!$C:$J,4,FALSE)</f>
        <v>L</v>
      </c>
      <c r="E163">
        <f>VLOOKUP(C163,classifications!C:K,9,FALSE)</f>
        <v>0</v>
      </c>
      <c r="F163">
        <f t="shared" si="83"/>
        <v>318.8</v>
      </c>
      <c r="G163" s="15"/>
      <c r="H163" s="42" t="str">
        <f t="shared" si="84"/>
        <v/>
      </c>
      <c r="I163" s="79" t="str">
        <f>IF(H163="","",IF($I$8="A",(RANK(H163,H$11:H$343,1)+COUNTIF(H$11:H163,H163)-1),(RANK(H163,H$11:H$343)+COUNTIF(H$11:H163,H163)-1)))</f>
        <v/>
      </c>
      <c r="J163" s="41"/>
      <c r="K163" s="36" t="str">
        <f t="shared" si="85"/>
        <v/>
      </c>
      <c r="L163" t="str">
        <f t="shared" si="86"/>
        <v/>
      </c>
      <c r="M163" s="117" t="str">
        <f t="shared" si="87"/>
        <v/>
      </c>
      <c r="N163" s="112" t="str">
        <f t="shared" si="88"/>
        <v/>
      </c>
      <c r="O163" s="96" t="str">
        <f t="shared" si="89"/>
        <v/>
      </c>
      <c r="P163" s="96" t="str">
        <f t="shared" si="90"/>
        <v/>
      </c>
      <c r="Q163" s="96" t="str">
        <f t="shared" si="91"/>
        <v/>
      </c>
      <c r="R163" s="92" t="str">
        <f t="shared" si="92"/>
        <v/>
      </c>
      <c r="S163" s="42" t="str">
        <f t="shared" si="93"/>
        <v/>
      </c>
      <c r="T163" s="167" t="str">
        <f>IF(L163="","",VLOOKUP(L163,classifications!C:K,9,FALSE))</f>
        <v/>
      </c>
      <c r="U163" s="168" t="str">
        <f t="shared" si="94"/>
        <v/>
      </c>
      <c r="V163" s="174" t="str">
        <f>IF(U163="","",IF($I$8="A",(RANK(U163,U$11:U$343)+COUNTIF(U$11:U163,U163)-1),(RANK(U163,U$11:U$343,1)+COUNTIF(U$11:U163,U163)-1)))</f>
        <v/>
      </c>
      <c r="W163" s="175"/>
      <c r="X163" s="5" t="str">
        <f>IF(L163="","",VLOOKUP($L163,classifications!$C:$J,6,FALSE))</f>
        <v/>
      </c>
      <c r="Y163" t="str">
        <f t="shared" si="95"/>
        <v/>
      </c>
      <c r="Z163" s="40" t="str">
        <f>IF(Y163="","",IF(I$8="A",(RANK(Y163,Y$11:Y$343,1)+COUNTIF(Y$11:Y163,Y163)-1),(RANK(Y163,Y$11:Y$343)+COUNTIF(Y$11:Y163,Y163)-1)))</f>
        <v/>
      </c>
      <c r="AA163" s="180" t="str">
        <f>IF(L163="","",VLOOKUP($L163,classifications!C:I,7,FALSE))</f>
        <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f>HLOOKUP($AX$9&amp;$AX$10,Data!$A$1:$ZZ$1980,(MATCH($C163,Data!$A$1:$A$1980,0)),FALSE)</f>
        <v>318.8</v>
      </c>
    </row>
    <row r="164" spans="1:50">
      <c r="A164" s="59" t="str">
        <f>$D$1&amp;154</f>
        <v>UA154</v>
      </c>
      <c r="B164" s="60">
        <f>IF(ISERROR(VLOOKUP(A167,classifications!A:C,3,FALSE)),0,VLOOKUP(A167,classifications!A:C,3,FALSE))</f>
        <v>0</v>
      </c>
      <c r="C164" t="s">
        <v>317</v>
      </c>
      <c r="D164" t="str">
        <f>VLOOKUP($C164,classifications!$C:$J,4,FALSE)</f>
        <v>SC</v>
      </c>
      <c r="E164" t="str">
        <f>VLOOKUP(C164,classifications!C:K,9,FALSE)</f>
        <v>Sparse</v>
      </c>
      <c r="F164">
        <f t="shared" si="83"/>
        <v>528.9</v>
      </c>
      <c r="G164" s="15"/>
      <c r="H164" s="42" t="str">
        <f t="shared" si="84"/>
        <v/>
      </c>
      <c r="I164" s="79" t="str">
        <f>IF(H164="","",IF($I$8="A",(RANK(H164,H$11:H$343,1)+COUNTIF(H$11:H164,H164)-1),(RANK(H164,H$11:H$343)+COUNTIF(H$11:H164,H164)-1)))</f>
        <v/>
      </c>
      <c r="J164" s="41"/>
      <c r="K164" s="36" t="str">
        <f t="shared" si="85"/>
        <v/>
      </c>
      <c r="L164" t="str">
        <f t="shared" si="86"/>
        <v/>
      </c>
      <c r="M164" s="117" t="str">
        <f t="shared" si="87"/>
        <v/>
      </c>
      <c r="N164" s="112" t="str">
        <f t="shared" si="88"/>
        <v/>
      </c>
      <c r="O164" s="96" t="str">
        <f t="shared" si="89"/>
        <v/>
      </c>
      <c r="P164" s="96" t="str">
        <f t="shared" si="90"/>
        <v/>
      </c>
      <c r="Q164" s="96" t="str">
        <f t="shared" si="91"/>
        <v/>
      </c>
      <c r="R164" s="92" t="str">
        <f t="shared" si="92"/>
        <v/>
      </c>
      <c r="S164" s="42" t="str">
        <f t="shared" si="93"/>
        <v/>
      </c>
      <c r="T164" s="167" t="str">
        <f>IF(L164="","",VLOOKUP(L164,classifications!C:K,9,FALSE))</f>
        <v/>
      </c>
      <c r="U164" s="168" t="str">
        <f t="shared" si="94"/>
        <v/>
      </c>
      <c r="V164" s="174" t="str">
        <f>IF(U164="","",IF($I$8="A",(RANK(U164,U$11:U$343)+COUNTIF(U$11:U164,U164)-1),(RANK(U164,U$11:U$343,1)+COUNTIF(U$11:U164,U164)-1)))</f>
        <v/>
      </c>
      <c r="W164" s="175"/>
      <c r="X164" s="5" t="str">
        <f>IF(L164="","",VLOOKUP($L164,classifications!$C:$J,6,FALSE))</f>
        <v/>
      </c>
      <c r="Y164" t="str">
        <f t="shared" si="95"/>
        <v/>
      </c>
      <c r="Z164" s="40" t="str">
        <f>IF(Y164="","",IF(I$8="A",(RANK(Y164,Y$11:Y$343,1)+COUNTIF(Y$11:Y164,Y164)-1),(RANK(Y164,Y$11:Y$343)+COUNTIF(Y$11:Y164,Y164)-1)))</f>
        <v/>
      </c>
      <c r="AA164" s="180" t="str">
        <f>IF(L164="","",VLOOKUP($L164,classifications!C:I,7,FALSE))</f>
        <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528.9</v>
      </c>
    </row>
    <row r="165" spans="1:50">
      <c r="A165" s="59" t="str">
        <f>$D$1&amp;155</f>
        <v>UA155</v>
      </c>
      <c r="B165" s="60">
        <f>IF(ISERROR(VLOOKUP(A168,classifications!A:C,3,FALSE)),0,VLOOKUP(A168,classifications!A:C,3,FALSE))</f>
        <v>0</v>
      </c>
      <c r="C165" t="s">
        <v>92</v>
      </c>
      <c r="D165" t="str">
        <f>VLOOKUP($C165,classifications!$C:$J,4,FALSE)</f>
        <v>SD</v>
      </c>
      <c r="E165">
        <f>VLOOKUP(C165,classifications!C:K,9,FALSE)</f>
        <v>0</v>
      </c>
      <c r="F165">
        <f t="shared" si="83"/>
        <v>488</v>
      </c>
      <c r="G165" s="15"/>
      <c r="H165" s="42" t="str">
        <f t="shared" si="84"/>
        <v/>
      </c>
      <c r="I165" s="79" t="str">
        <f>IF(H165="","",IF($I$8="A",(RANK(H165,H$11:H$343,1)+COUNTIF(H$11:H165,H165)-1),(RANK(H165,H$11:H$343)+COUNTIF(H$11:H165,H165)-1)))</f>
        <v/>
      </c>
      <c r="J165" s="41"/>
      <c r="K165" s="36" t="str">
        <f t="shared" si="85"/>
        <v/>
      </c>
      <c r="L165" t="str">
        <f t="shared" si="86"/>
        <v/>
      </c>
      <c r="M165" s="117" t="str">
        <f t="shared" si="87"/>
        <v/>
      </c>
      <c r="N165" s="112" t="str">
        <f t="shared" si="88"/>
        <v/>
      </c>
      <c r="O165" s="96" t="str">
        <f t="shared" si="89"/>
        <v/>
      </c>
      <c r="P165" s="96" t="str">
        <f t="shared" si="90"/>
        <v/>
      </c>
      <c r="Q165" s="96" t="str">
        <f t="shared" si="91"/>
        <v/>
      </c>
      <c r="R165" s="92" t="str">
        <f t="shared" si="92"/>
        <v/>
      </c>
      <c r="S165" s="42" t="str">
        <f t="shared" si="93"/>
        <v/>
      </c>
      <c r="T165" s="167" t="str">
        <f>IF(L165="","",VLOOKUP(L165,classifications!C:K,9,FALSE))</f>
        <v/>
      </c>
      <c r="U165" s="168" t="str">
        <f t="shared" si="94"/>
        <v/>
      </c>
      <c r="V165" s="174" t="str">
        <f>IF(U165="","",IF($I$8="A",(RANK(U165,U$11:U$343)+COUNTIF(U$11:U165,U165)-1),(RANK(U165,U$11:U$343,1)+COUNTIF(U$11:U165,U165)-1)))</f>
        <v/>
      </c>
      <c r="W165" s="175"/>
      <c r="X165" s="5" t="str">
        <f>IF(L165="","",VLOOKUP($L165,classifications!$C:$J,6,FALSE))</f>
        <v/>
      </c>
      <c r="Y165" t="str">
        <f t="shared" si="95"/>
        <v/>
      </c>
      <c r="Z165" s="40" t="str">
        <f>IF(Y165="","",IF(I$8="A",(RANK(Y165,Y$11:Y$343,1)+COUNTIF(Y$11:Y165,Y165)-1),(RANK(Y165,Y$11:Y$343)+COUNTIF(Y$11:Y165,Y165)-1)))</f>
        <v/>
      </c>
      <c r="AA165" s="180" t="str">
        <f>IF(L165="","",VLOOKUP($L165,classifications!C:I,7,FALSE))</f>
        <v/>
      </c>
      <c r="AB165" s="174" t="str">
        <f t="shared" si="96"/>
        <v/>
      </c>
      <c r="AC165" s="174" t="str">
        <f>IF(AB165="","",IF($I$8="A",(RANK(AB165,AB$11:AB$343)+COUNTIF(AB$11:AB165,AB165)-1),(RANK(AB165,AB$11:AB$343,1)+COUNTIF(AB$11:AB165,AB165)-1)))</f>
        <v/>
      </c>
      <c r="AD165" s="174"/>
      <c r="AE165" s="36" t="str">
        <f t="shared" si="97"/>
        <v/>
      </c>
      <c r="AG165" s="15"/>
      <c r="AH165" s="3"/>
      <c r="AI165" s="5" t="str">
        <f>IF(L165="","",VLOOKUP($L165,classifications!$C:$J,8,FALSE))</f>
        <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f>HLOOKUP($AX$9&amp;$AX$10,Data!$A$1:$ZZ$1980,(MATCH($C165,Data!$A$1:$A$1980,0)),FALSE)</f>
        <v>488</v>
      </c>
    </row>
    <row r="166" spans="1:50">
      <c r="A166" s="59" t="str">
        <f>$D$1&amp;156</f>
        <v>UA156</v>
      </c>
      <c r="B166" s="60">
        <f>IF(ISERROR(VLOOKUP(A169,classifications!A:C,3,FALSE)),0,VLOOKUP(A169,classifications!A:C,3,FALSE))</f>
        <v>0</v>
      </c>
      <c r="C166" t="s">
        <v>235</v>
      </c>
      <c r="D166" t="str">
        <f>VLOOKUP($C166,classifications!$C:$J,4,FALSE)</f>
        <v>MD</v>
      </c>
      <c r="E166">
        <f>VLOOKUP(C166,classifications!C:K,9,FALSE)</f>
        <v>0</v>
      </c>
      <c r="F166">
        <f t="shared" si="83"/>
        <v>527.9</v>
      </c>
      <c r="G166" s="15"/>
      <c r="H166" s="42" t="str">
        <f t="shared" si="84"/>
        <v/>
      </c>
      <c r="I166" s="79" t="str">
        <f>IF(H166="","",IF($I$8="A",(RANK(H166,H$11:H$343,1)+COUNTIF(H$11:H166,H166)-1),(RANK(H166,H$11:H$343)+COUNTIF(H$11:H166,H166)-1)))</f>
        <v/>
      </c>
      <c r="J166" s="41"/>
      <c r="K166" s="36" t="str">
        <f t="shared" si="85"/>
        <v/>
      </c>
      <c r="L166" t="str">
        <f t="shared" si="86"/>
        <v/>
      </c>
      <c r="M166" s="117" t="str">
        <f t="shared" si="87"/>
        <v/>
      </c>
      <c r="N166" s="112" t="str">
        <f t="shared" si="88"/>
        <v/>
      </c>
      <c r="O166" s="96" t="str">
        <f t="shared" si="89"/>
        <v/>
      </c>
      <c r="P166" s="96" t="str">
        <f t="shared" si="90"/>
        <v/>
      </c>
      <c r="Q166" s="96" t="str">
        <f t="shared" si="91"/>
        <v/>
      </c>
      <c r="R166" s="92" t="str">
        <f t="shared" si="92"/>
        <v/>
      </c>
      <c r="S166" s="42" t="str">
        <f t="shared" si="93"/>
        <v/>
      </c>
      <c r="T166" s="167" t="str">
        <f>IF(L166="","",VLOOKUP(L166,classifications!C:K,9,FALSE))</f>
        <v/>
      </c>
      <c r="U166" s="168" t="str">
        <f t="shared" si="94"/>
        <v/>
      </c>
      <c r="V166" s="174" t="str">
        <f>IF(U166="","",IF($I$8="A",(RANK(U166,U$11:U$343)+COUNTIF(U$11:U166,U166)-1),(RANK(U166,U$11:U$343,1)+COUNTIF(U$11:U166,U166)-1)))</f>
        <v/>
      </c>
      <c r="W166" s="175"/>
      <c r="X166" s="5" t="str">
        <f>IF(L166="","",VLOOKUP($L166,classifications!$C:$J,6,FALSE))</f>
        <v/>
      </c>
      <c r="Y166" t="str">
        <f t="shared" si="95"/>
        <v/>
      </c>
      <c r="Z166" s="40" t="str">
        <f>IF(Y166="","",IF(I$8="A",(RANK(Y166,Y$11:Y$343,1)+COUNTIF(Y$11:Y166,Y166)-1),(RANK(Y166,Y$11:Y$343)+COUNTIF(Y$11:Y166,Y166)-1)))</f>
        <v/>
      </c>
      <c r="AA166" s="180" t="str">
        <f>IF(L166="","",VLOOKUP($L166,classifications!C:I,7,FALSE))</f>
        <v/>
      </c>
      <c r="AB166" s="174" t="str">
        <f t="shared" si="96"/>
        <v/>
      </c>
      <c r="AC166" s="174" t="str">
        <f>IF(AB166="","",IF($I$8="A",(RANK(AB166,AB$11:AB$343)+COUNTIF(AB$11:AB166,AB166)-1),(RANK(AB166,AB$11:AB$343,1)+COUNTIF(AB$11:AB166,AB166)-1)))</f>
        <v/>
      </c>
      <c r="AD166" s="174"/>
      <c r="AE166" s="36" t="str">
        <f t="shared" si="97"/>
        <v/>
      </c>
      <c r="AG166" s="15"/>
      <c r="AH166" s="3"/>
      <c r="AI166" s="5" t="str">
        <f>IF(L166="","",VLOOKUP($L166,classifications!$C:$J,8,FALSE))</f>
        <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527.9</v>
      </c>
    </row>
    <row r="167" spans="1:50">
      <c r="A167" s="59" t="str">
        <f>$D$1&amp;157</f>
        <v>UA157</v>
      </c>
      <c r="B167" s="60">
        <f>IF(ISERROR(VLOOKUP(A170,classifications!A:C,3,FALSE)),0,VLOOKUP(A170,classifications!A:C,3,FALSE))</f>
        <v>0</v>
      </c>
      <c r="C167" t="s">
        <v>272</v>
      </c>
      <c r="D167" t="str">
        <f>VLOOKUP($C167,classifications!$C:$J,4,FALSE)</f>
        <v>UA</v>
      </c>
      <c r="E167">
        <f>VLOOKUP(C167,classifications!C:K,9,FALSE)</f>
        <v>0</v>
      </c>
      <c r="F167">
        <f t="shared" si="83"/>
        <v>521.9</v>
      </c>
      <c r="G167" s="15"/>
      <c r="H167" s="42">
        <f t="shared" si="84"/>
        <v>521.9</v>
      </c>
      <c r="I167" s="79">
        <f>IF(H167="","",IF($I$8="A",(RANK(H167,H$11:H$343,1)+COUNTIF(H$11:H167,H167)-1),(RANK(H167,H$11:H$343)+COUNTIF(H$11:H167,H167)-1)))</f>
        <v>27</v>
      </c>
      <c r="J167" s="41"/>
      <c r="K167" s="36" t="str">
        <f t="shared" si="85"/>
        <v/>
      </c>
      <c r="L167" t="str">
        <f t="shared" si="86"/>
        <v/>
      </c>
      <c r="M167" s="117" t="str">
        <f t="shared" si="87"/>
        <v/>
      </c>
      <c r="N167" s="112" t="str">
        <f t="shared" si="88"/>
        <v/>
      </c>
      <c r="O167" s="96" t="str">
        <f t="shared" si="89"/>
        <v/>
      </c>
      <c r="P167" s="96" t="str">
        <f t="shared" si="90"/>
        <v/>
      </c>
      <c r="Q167" s="96" t="str">
        <f t="shared" si="91"/>
        <v/>
      </c>
      <c r="R167" s="92" t="str">
        <f t="shared" si="92"/>
        <v/>
      </c>
      <c r="S167" s="42" t="str">
        <f t="shared" si="93"/>
        <v/>
      </c>
      <c r="T167" s="167" t="str">
        <f>IF(L167="","",VLOOKUP(L167,classifications!C:K,9,FALSE))</f>
        <v/>
      </c>
      <c r="U167" s="168" t="str">
        <f t="shared" si="94"/>
        <v/>
      </c>
      <c r="V167" s="174" t="str">
        <f>IF(U167="","",IF($I$8="A",(RANK(U167,U$11:U$343)+COUNTIF(U$11:U167,U167)-1),(RANK(U167,U$11:U$343,1)+COUNTIF(U$11:U167,U167)-1)))</f>
        <v/>
      </c>
      <c r="W167" s="175"/>
      <c r="X167" s="5" t="str">
        <f>IF(L167="","",VLOOKUP($L167,classifications!$C:$J,6,FALSE))</f>
        <v/>
      </c>
      <c r="Y167" t="str">
        <f t="shared" si="95"/>
        <v/>
      </c>
      <c r="Z167" s="40" t="str">
        <f>IF(Y167="","",IF(I$8="A",(RANK(Y167,Y$11:Y$343,1)+COUNTIF(Y$11:Y167,Y167)-1),(RANK(Y167,Y$11:Y$343)+COUNTIF(Y$11:Y167,Y167)-1)))</f>
        <v/>
      </c>
      <c r="AA167" s="180" t="str">
        <f>IF(L167="","",VLOOKUP($L167,classifications!C:I,7,FALSE))</f>
        <v/>
      </c>
      <c r="AB167" s="174" t="str">
        <f t="shared" si="96"/>
        <v/>
      </c>
      <c r="AC167" s="174" t="str">
        <f>IF(AB167="","",IF($I$8="A",(RANK(AB167,AB$11:AB$343)+COUNTIF(AB$11:AB167,AB167)-1),(RANK(AB167,AB$11:AB$343,1)+COUNTIF(AB$11:AB167,AB167)-1)))</f>
        <v/>
      </c>
      <c r="AD167" s="174"/>
      <c r="AE167" s="36" t="str">
        <f t="shared" si="97"/>
        <v/>
      </c>
      <c r="AG167" s="15"/>
      <c r="AH167" s="3"/>
      <c r="AI167" s="5" t="str">
        <f>IF(L167="","",VLOOKUP($L167,classifications!$C:$J,8,FALSE))</f>
        <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
      </c>
      <c r="AQ167" s="43" t="str">
        <f t="shared" si="102"/>
        <v/>
      </c>
      <c r="AR167" s="40" t="str">
        <f>IF(AQ167="","",IF(I$8="A",(RANK(AQ167,AQ$11:AQ$343,1)+COUNTIF(AQ$11:AQ167,AQ167)-1),(RANK(AQ167,AQ$11:AQ$343)+COUNTIF(AQ$11:AQ167,AQ167)-1)))</f>
        <v/>
      </c>
      <c r="AS167" s="3" t="str">
        <f t="shared" si="103"/>
        <v/>
      </c>
      <c r="AT167" s="40" t="str">
        <f t="shared" si="104"/>
        <v/>
      </c>
      <c r="AU167" s="43" t="str">
        <f t="shared" si="105"/>
        <v/>
      </c>
      <c r="AX167">
        <f>HLOOKUP($AX$9&amp;$AX$10,Data!$A$1:$ZZ$1980,(MATCH($C167,Data!$A$1:$A$1980,0)),FALSE)</f>
        <v>521.9</v>
      </c>
    </row>
    <row r="168" spans="1:50">
      <c r="A168" s="59" t="str">
        <f>$D$1&amp;158</f>
        <v>UA158</v>
      </c>
      <c r="B168" s="60">
        <f>IF(ISERROR(VLOOKUP(A171,classifications!A:C,3,FALSE)),0,VLOOKUP(A171,classifications!A:C,3,FALSE))</f>
        <v>0</v>
      </c>
      <c r="C168" t="s">
        <v>318</v>
      </c>
      <c r="D168" t="str">
        <f>VLOOKUP($C168,classifications!$C:$J,4,FALSE)</f>
        <v>SC</v>
      </c>
      <c r="E168">
        <f>VLOOKUP(C168,classifications!C:K,9,FALSE)</f>
        <v>0</v>
      </c>
      <c r="F168">
        <f t="shared" si="83"/>
        <v>540.1</v>
      </c>
      <c r="G168" s="15"/>
      <c r="H168" s="42" t="str">
        <f t="shared" si="84"/>
        <v/>
      </c>
      <c r="I168" s="79" t="str">
        <f>IF(H168="","",IF($I$8="A",(RANK(H168,H$11:H$343,1)+COUNTIF(H$11:H168,H168)-1),(RANK(H168,H$11:H$343)+COUNTIF(H$11:H168,H168)-1)))</f>
        <v/>
      </c>
      <c r="J168" s="41"/>
      <c r="K168" s="36" t="str">
        <f t="shared" si="85"/>
        <v/>
      </c>
      <c r="L168" t="str">
        <f t="shared" si="86"/>
        <v/>
      </c>
      <c r="M168" s="117" t="str">
        <f t="shared" si="87"/>
        <v/>
      </c>
      <c r="N168" s="112" t="str">
        <f t="shared" si="88"/>
        <v/>
      </c>
      <c r="O168" s="96" t="str">
        <f t="shared" si="89"/>
        <v/>
      </c>
      <c r="P168" s="96" t="str">
        <f t="shared" si="90"/>
        <v/>
      </c>
      <c r="Q168" s="96" t="str">
        <f t="shared" si="91"/>
        <v/>
      </c>
      <c r="R168" s="92" t="str">
        <f t="shared" si="92"/>
        <v/>
      </c>
      <c r="S168" s="42" t="str">
        <f t="shared" si="93"/>
        <v/>
      </c>
      <c r="T168" s="167" t="str">
        <f>IF(L168="","",VLOOKUP(L168,classifications!C:K,9,FALSE))</f>
        <v/>
      </c>
      <c r="U168" s="168" t="str">
        <f t="shared" si="94"/>
        <v/>
      </c>
      <c r="V168" s="174" t="str">
        <f>IF(U168="","",IF($I$8="A",(RANK(U168,U$11:U$343)+COUNTIF(U$11:U168,U168)-1),(RANK(U168,U$11:U$343,1)+COUNTIF(U$11:U168,U168)-1)))</f>
        <v/>
      </c>
      <c r="W168" s="175"/>
      <c r="X168" s="5" t="str">
        <f>IF(L168="","",VLOOKUP($L168,classifications!$C:$J,6,FALSE))</f>
        <v/>
      </c>
      <c r="Y168" t="str">
        <f t="shared" si="95"/>
        <v/>
      </c>
      <c r="Z168" s="40" t="str">
        <f>IF(Y168="","",IF(I$8="A",(RANK(Y168,Y$11:Y$343,1)+COUNTIF(Y$11:Y168,Y168)-1),(RANK(Y168,Y$11:Y$343)+COUNTIF(Y$11:Y168,Y168)-1)))</f>
        <v/>
      </c>
      <c r="AA168" s="180" t="str">
        <f>IF(L168="","",VLOOKUP($L168,classifications!C:I,7,FALSE))</f>
        <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540.1</v>
      </c>
    </row>
    <row r="169" spans="1:50">
      <c r="A169" s="59" t="str">
        <f>$D$1&amp;159</f>
        <v>UA159</v>
      </c>
      <c r="B169" s="60">
        <f>IF(ISERROR(VLOOKUP(A172,classifications!A:C,3,FALSE)),0,VLOOKUP(A172,classifications!A:C,3,FALSE))</f>
        <v>0</v>
      </c>
      <c r="C169" t="s">
        <v>93</v>
      </c>
      <c r="D169" t="str">
        <f>VLOOKUP($C169,classifications!$C:$J,4,FALSE)</f>
        <v>SD</v>
      </c>
      <c r="E169" t="str">
        <f>VLOOKUP(C169,classifications!C:K,9,FALSE)</f>
        <v>Sparse</v>
      </c>
      <c r="F169">
        <f t="shared" si="83"/>
        <v>426.3</v>
      </c>
      <c r="G169" s="15"/>
      <c r="H169" s="42" t="str">
        <f t="shared" si="84"/>
        <v/>
      </c>
      <c r="I169" s="79" t="str">
        <f>IF(H169="","",IF($I$8="A",(RANK(H169,H$11:H$343,1)+COUNTIF(H$11:H169,H169)-1),(RANK(H169,H$11:H$343)+COUNTIF(H$11:H169,H169)-1)))</f>
        <v/>
      </c>
      <c r="J169" s="41"/>
      <c r="K169" s="36" t="str">
        <f t="shared" si="85"/>
        <v/>
      </c>
      <c r="L169" t="str">
        <f t="shared" si="86"/>
        <v/>
      </c>
      <c r="M169" s="117" t="str">
        <f t="shared" si="87"/>
        <v/>
      </c>
      <c r="N169" s="112" t="str">
        <f t="shared" si="88"/>
        <v/>
      </c>
      <c r="O169" s="96" t="str">
        <f t="shared" si="89"/>
        <v/>
      </c>
      <c r="P169" s="96" t="str">
        <f t="shared" si="90"/>
        <v/>
      </c>
      <c r="Q169" s="96" t="str">
        <f t="shared" si="91"/>
        <v/>
      </c>
      <c r="R169" s="92" t="str">
        <f t="shared" si="92"/>
        <v/>
      </c>
      <c r="S169" s="42" t="str">
        <f t="shared" si="93"/>
        <v/>
      </c>
      <c r="T169" s="167" t="str">
        <f>IF(L169="","",VLOOKUP(L169,classifications!C:K,9,FALSE))</f>
        <v/>
      </c>
      <c r="U169" s="168" t="str">
        <f t="shared" si="94"/>
        <v/>
      </c>
      <c r="V169" s="174" t="str">
        <f>IF(U169="","",IF($I$8="A",(RANK(U169,U$11:U$343)+COUNTIF(U$11:U169,U169)-1),(RANK(U169,U$11:U$343,1)+COUNTIF(U$11:U169,U169)-1)))</f>
        <v/>
      </c>
      <c r="W169" s="175"/>
      <c r="X169" s="5" t="str">
        <f>IF(L169="","",VLOOKUP($L169,classifications!$C:$J,6,FALSE))</f>
        <v/>
      </c>
      <c r="Y169" t="str">
        <f t="shared" si="95"/>
        <v/>
      </c>
      <c r="Z169" s="40" t="str">
        <f>IF(Y169="","",IF(I$8="A",(RANK(Y169,Y$11:Y$343,1)+COUNTIF(Y$11:Y169,Y169)-1),(RANK(Y169,Y$11:Y$343)+COUNTIF(Y$11:Y169,Y169)-1)))</f>
        <v/>
      </c>
      <c r="AA169" s="180" t="str">
        <f>IF(L169="","",VLOOKUP($L169,classifications!C:I,7,FALSE))</f>
        <v/>
      </c>
      <c r="AB169" s="174" t="str">
        <f t="shared" si="96"/>
        <v/>
      </c>
      <c r="AC169" s="174" t="str">
        <f>IF(AB169="","",IF($I$8="A",(RANK(AB169,AB$11:AB$343)+COUNTIF(AB$11:AB169,AB169)-1),(RANK(AB169,AB$11:AB$343,1)+COUNTIF(AB$11:AB169,AB169)-1)))</f>
        <v/>
      </c>
      <c r="AD169" s="174"/>
      <c r="AE169" s="36" t="str">
        <f t="shared" si="97"/>
        <v/>
      </c>
      <c r="AG169" s="15"/>
      <c r="AH169" s="3"/>
      <c r="AI169" s="5" t="str">
        <f>IF(L169="","",VLOOKUP($L169,classifications!$C:$J,8,FALSE))</f>
        <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f>HLOOKUP($AX$9&amp;$AX$10,Data!$A$1:$ZZ$1980,(MATCH($C169,Data!$A$1:$A$1980,0)),FALSE)</f>
        <v>426.3</v>
      </c>
    </row>
    <row r="170" spans="1:50">
      <c r="A170" s="59" t="str">
        <f>$D$1&amp;160</f>
        <v>UA160</v>
      </c>
      <c r="B170" s="60">
        <f>IF(ISERROR(VLOOKUP(A173,classifications!A:C,3,FALSE)),0,VLOOKUP(A173,classifications!A:C,3,FALSE))</f>
        <v>0</v>
      </c>
      <c r="C170" t="s">
        <v>214</v>
      </c>
      <c r="D170" t="str">
        <f>VLOOKUP($C170,classifications!$C:$J,4,FALSE)</f>
        <v>L</v>
      </c>
      <c r="E170">
        <f>VLOOKUP(C170,classifications!C:K,9,FALSE)</f>
        <v>0</v>
      </c>
      <c r="F170">
        <f t="shared" si="83"/>
        <v>513</v>
      </c>
      <c r="G170" s="15"/>
      <c r="H170" s="42" t="str">
        <f t="shared" si="84"/>
        <v/>
      </c>
      <c r="I170" s="79" t="str">
        <f>IF(H170="","",IF($I$8="A",(RANK(H170,H$11:H$343,1)+COUNTIF(H$11:H170,H170)-1),(RANK(H170,H$11:H$343)+COUNTIF(H$11:H170,H170)-1)))</f>
        <v/>
      </c>
      <c r="J170" s="41"/>
      <c r="K170" s="36" t="str">
        <f t="shared" si="85"/>
        <v/>
      </c>
      <c r="L170" t="str">
        <f t="shared" si="86"/>
        <v/>
      </c>
      <c r="M170" s="117" t="str">
        <f t="shared" si="87"/>
        <v/>
      </c>
      <c r="N170" s="112" t="str">
        <f t="shared" si="88"/>
        <v/>
      </c>
      <c r="O170" s="96" t="str">
        <f t="shared" si="89"/>
        <v/>
      </c>
      <c r="P170" s="96" t="str">
        <f t="shared" si="90"/>
        <v/>
      </c>
      <c r="Q170" s="96" t="str">
        <f t="shared" si="91"/>
        <v/>
      </c>
      <c r="R170" s="92" t="str">
        <f t="shared" si="92"/>
        <v/>
      </c>
      <c r="S170" s="42" t="str">
        <f t="shared" si="93"/>
        <v/>
      </c>
      <c r="T170" s="167" t="str">
        <f>IF(L170="","",VLOOKUP(L170,classifications!C:K,9,FALSE))</f>
        <v/>
      </c>
      <c r="U170" s="168" t="str">
        <f t="shared" si="94"/>
        <v/>
      </c>
      <c r="V170" s="174" t="str">
        <f>IF(U170="","",IF($I$8="A",(RANK(U170,U$11:U$343)+COUNTIF(U$11:U170,U170)-1),(RANK(U170,U$11:U$343,1)+COUNTIF(U$11:U170,U170)-1)))</f>
        <v/>
      </c>
      <c r="W170" s="175"/>
      <c r="X170" s="5" t="str">
        <f>IF(L170="","",VLOOKUP($L170,classifications!$C:$J,6,FALSE))</f>
        <v/>
      </c>
      <c r="Y170" t="str">
        <f t="shared" si="95"/>
        <v/>
      </c>
      <c r="Z170" s="40" t="str">
        <f>IF(Y170="","",IF(I$8="A",(RANK(Y170,Y$11:Y$343,1)+COUNTIF(Y$11:Y170,Y170)-1),(RANK(Y170,Y$11:Y$343)+COUNTIF(Y$11:Y170,Y170)-1)))</f>
        <v/>
      </c>
      <c r="AA170" s="180" t="str">
        <f>IF(L170="","",VLOOKUP($L170,classifications!C:I,7,FALSE))</f>
        <v/>
      </c>
      <c r="AB170" s="174" t="str">
        <f t="shared" si="96"/>
        <v/>
      </c>
      <c r="AC170" s="174" t="str">
        <f>IF(AB170="","",IF($I$8="A",(RANK(AB170,AB$11:AB$343)+COUNTIF(AB$11:AB170,AB170)-1),(RANK(AB170,AB$11:AB$343,1)+COUNTIF(AB$11:AB170,AB170)-1)))</f>
        <v/>
      </c>
      <c r="AD170" s="174"/>
      <c r="AE170" s="36" t="str">
        <f t="shared" si="97"/>
        <v/>
      </c>
      <c r="AG170" s="15"/>
      <c r="AH170" s="3"/>
      <c r="AI170" s="5" t="str">
        <f>IF(L170="","",VLOOKUP($L170,classifications!$C:$J,8,FALSE))</f>
        <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513</v>
      </c>
    </row>
    <row r="171" spans="1:50">
      <c r="A171" s="59" t="str">
        <f>$D$1&amp;161</f>
        <v>UA161</v>
      </c>
      <c r="B171" s="60">
        <f>IF(ISERROR(VLOOKUP(A174,classifications!A:C,3,FALSE)),0,VLOOKUP(A174,classifications!A:C,3,FALSE))</f>
        <v>0</v>
      </c>
      <c r="C171" t="s">
        <v>94</v>
      </c>
      <c r="D171" t="str">
        <f>VLOOKUP($C171,classifications!$C:$J,4,FALSE)</f>
        <v>SD</v>
      </c>
      <c r="E171" t="str">
        <f>VLOOKUP(C171,classifications!C:K,9,FALSE)</f>
        <v>Sparse</v>
      </c>
      <c r="F171">
        <f t="shared" si="83"/>
        <v>455.7</v>
      </c>
      <c r="G171" s="15"/>
      <c r="H171" s="42" t="str">
        <f t="shared" si="84"/>
        <v/>
      </c>
      <c r="I171" s="79" t="str">
        <f>IF(H171="","",IF($I$8="A",(RANK(H171,H$11:H$343,1)+COUNTIF(H$11:H171,H171)-1),(RANK(H171,H$11:H$343)+COUNTIF(H$11:H171,H171)-1)))</f>
        <v/>
      </c>
      <c r="J171" s="41"/>
      <c r="K171" s="36" t="str">
        <f t="shared" si="85"/>
        <v/>
      </c>
      <c r="L171" t="str">
        <f t="shared" si="86"/>
        <v/>
      </c>
      <c r="M171" s="117" t="str">
        <f t="shared" si="87"/>
        <v/>
      </c>
      <c r="N171" s="112" t="str">
        <f t="shared" si="88"/>
        <v/>
      </c>
      <c r="O171" s="96" t="str">
        <f t="shared" si="89"/>
        <v/>
      </c>
      <c r="P171" s="96" t="str">
        <f t="shared" si="90"/>
        <v/>
      </c>
      <c r="Q171" s="96" t="str">
        <f t="shared" si="91"/>
        <v/>
      </c>
      <c r="R171" s="92" t="str">
        <f t="shared" si="92"/>
        <v/>
      </c>
      <c r="S171" s="42" t="str">
        <f t="shared" si="93"/>
        <v/>
      </c>
      <c r="T171" s="167" t="str">
        <f>IF(L171="","",VLOOKUP(L171,classifications!C:K,9,FALSE))</f>
        <v/>
      </c>
      <c r="U171" s="168" t="str">
        <f t="shared" si="94"/>
        <v/>
      </c>
      <c r="V171" s="174" t="str">
        <f>IF(U171="","",IF($I$8="A",(RANK(U171,U$11:U$343)+COUNTIF(U$11:U171,U171)-1),(RANK(U171,U$11:U$343,1)+COUNTIF(U$11:U171,U171)-1)))</f>
        <v/>
      </c>
      <c r="W171" s="175"/>
      <c r="X171" s="5" t="str">
        <f>IF(L171="","",VLOOKUP($L171,classifications!$C:$J,6,FALSE))</f>
        <v/>
      </c>
      <c r="Y171" t="str">
        <f t="shared" si="95"/>
        <v/>
      </c>
      <c r="Z171" s="40" t="str">
        <f>IF(Y171="","",IF(I$8="A",(RANK(Y171,Y$11:Y$343,1)+COUNTIF(Y$11:Y171,Y171)-1),(RANK(Y171,Y$11:Y$343)+COUNTIF(Y$11:Y171,Y171)-1)))</f>
        <v/>
      </c>
      <c r="AA171" s="180" t="str">
        <f>IF(L171="","",VLOOKUP($L171,classifications!C:I,7,FALSE))</f>
        <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
      </c>
      <c r="AQ171" s="43" t="str">
        <f t="shared" si="102"/>
        <v/>
      </c>
      <c r="AR171" s="40" t="str">
        <f>IF(AQ171="","",IF(I$8="A",(RANK(AQ171,AQ$11:AQ$343,1)+COUNTIF(AQ$11:AQ171,AQ171)-1),(RANK(AQ171,AQ$11:AQ$343)+COUNTIF(AQ$11:AQ171,AQ171)-1)))</f>
        <v/>
      </c>
      <c r="AS171" s="3" t="str">
        <f t="shared" si="103"/>
        <v/>
      </c>
      <c r="AT171" s="40" t="str">
        <f t="shared" si="104"/>
        <v/>
      </c>
      <c r="AU171" s="43" t="str">
        <f t="shared" si="105"/>
        <v/>
      </c>
      <c r="AX171">
        <f>HLOOKUP($AX$9&amp;$AX$10,Data!$A$1:$ZZ$1980,(MATCH($C171,Data!$A$1:$A$1980,0)),FALSE)</f>
        <v>455.7</v>
      </c>
    </row>
    <row r="172" spans="1:50">
      <c r="A172" s="59" t="str">
        <f>$D$1&amp;162</f>
        <v>UA162</v>
      </c>
      <c r="B172" s="60">
        <f>IF(ISERROR(VLOOKUP(A175,classifications!A:C,3,FALSE)),0,VLOOKUP(A175,classifications!A:C,3,FALSE))</f>
        <v>0</v>
      </c>
      <c r="C172" t="s">
        <v>95</v>
      </c>
      <c r="D172" t="str">
        <f>VLOOKUP($C172,classifications!$C:$J,4,FALSE)</f>
        <v>SD</v>
      </c>
      <c r="E172">
        <f>VLOOKUP(C172,classifications!C:K,9,FALSE)</f>
        <v>0</v>
      </c>
      <c r="F172">
        <f t="shared" si="83"/>
        <v>500</v>
      </c>
      <c r="G172" s="15"/>
      <c r="H172" s="42" t="str">
        <f t="shared" si="84"/>
        <v/>
      </c>
      <c r="I172" s="79" t="str">
        <f>IF(H172="","",IF($I$8="A",(RANK(H172,H$11:H$343,1)+COUNTIF(H$11:H172,H172)-1),(RANK(H172,H$11:H$343)+COUNTIF(H$11:H172,H172)-1)))</f>
        <v/>
      </c>
      <c r="J172" s="41"/>
      <c r="K172" s="36" t="str">
        <f t="shared" si="85"/>
        <v/>
      </c>
      <c r="L172" t="str">
        <f t="shared" si="86"/>
        <v/>
      </c>
      <c r="M172" s="117" t="str">
        <f t="shared" si="87"/>
        <v/>
      </c>
      <c r="N172" s="112" t="str">
        <f t="shared" si="88"/>
        <v/>
      </c>
      <c r="O172" s="96" t="str">
        <f t="shared" si="89"/>
        <v/>
      </c>
      <c r="P172" s="96" t="str">
        <f t="shared" si="90"/>
        <v/>
      </c>
      <c r="Q172" s="96" t="str">
        <f t="shared" si="91"/>
        <v/>
      </c>
      <c r="R172" s="92" t="str">
        <f t="shared" si="92"/>
        <v/>
      </c>
      <c r="S172" s="42" t="str">
        <f t="shared" si="93"/>
        <v/>
      </c>
      <c r="T172" s="167" t="str">
        <f>IF(L172="","",VLOOKUP(L172,classifications!C:K,9,FALSE))</f>
        <v/>
      </c>
      <c r="U172" s="168" t="str">
        <f t="shared" si="94"/>
        <v/>
      </c>
      <c r="V172" s="174" t="str">
        <f>IF(U172="","",IF($I$8="A",(RANK(U172,U$11:U$343)+COUNTIF(U$11:U172,U172)-1),(RANK(U172,U$11:U$343,1)+COUNTIF(U$11:U172,U172)-1)))</f>
        <v/>
      </c>
      <c r="W172" s="175"/>
      <c r="X172" s="5" t="str">
        <f>IF(L172="","",VLOOKUP($L172,classifications!$C:$J,6,FALSE))</f>
        <v/>
      </c>
      <c r="Y172" t="str">
        <f t="shared" si="95"/>
        <v/>
      </c>
      <c r="Z172" s="40" t="str">
        <f>IF(Y172="","",IF(I$8="A",(RANK(Y172,Y$11:Y$343,1)+COUNTIF(Y$11:Y172,Y172)-1),(RANK(Y172,Y$11:Y$343)+COUNTIF(Y$11:Y172,Y172)-1)))</f>
        <v/>
      </c>
      <c r="AA172" s="180" t="str">
        <f>IF(L172="","",VLOOKUP($L172,classifications!C:I,7,FALSE))</f>
        <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
      </c>
      <c r="AQ172" s="43" t="str">
        <f t="shared" si="102"/>
        <v/>
      </c>
      <c r="AR172" s="40" t="str">
        <f>IF(AQ172="","",IF(I$8="A",(RANK(AQ172,AQ$11:AQ$343,1)+COUNTIF(AQ$11:AQ172,AQ172)-1),(RANK(AQ172,AQ$11:AQ$343)+COUNTIF(AQ$11:AQ172,AQ172)-1)))</f>
        <v/>
      </c>
      <c r="AS172" s="3" t="str">
        <f t="shared" si="103"/>
        <v/>
      </c>
      <c r="AT172" s="40" t="str">
        <f t="shared" si="104"/>
        <v/>
      </c>
      <c r="AU172" s="43" t="str">
        <f t="shared" si="105"/>
        <v/>
      </c>
      <c r="AX172">
        <f>HLOOKUP($AX$9&amp;$AX$10,Data!$A$1:$ZZ$1980,(MATCH($C172,Data!$A$1:$A$1980,0)),FALSE)</f>
        <v>500</v>
      </c>
    </row>
    <row r="173" spans="1:50">
      <c r="A173" s="59" t="str">
        <f>$D$1&amp;163</f>
        <v>UA163</v>
      </c>
      <c r="B173" s="60">
        <f>IF(ISERROR(VLOOKUP(A176,classifications!A:C,3,FALSE)),0,VLOOKUP(A176,classifications!A:C,3,FALSE))</f>
        <v>0</v>
      </c>
      <c r="C173" t="s">
        <v>319</v>
      </c>
      <c r="D173" t="str">
        <f>VLOOKUP($C173,classifications!$C:$J,4,FALSE)</f>
        <v>SC</v>
      </c>
      <c r="E173" t="str">
        <f>VLOOKUP(C173,classifications!C:K,9,FALSE)</f>
        <v>Sparse</v>
      </c>
      <c r="F173">
        <f t="shared" si="83"/>
        <v>560.4</v>
      </c>
      <c r="G173" s="15"/>
      <c r="H173" s="42" t="str">
        <f t="shared" si="84"/>
        <v/>
      </c>
      <c r="I173" s="79" t="str">
        <f>IF(H173="","",IF($I$8="A",(RANK(H173,H$11:H$343,1)+COUNTIF(H$11:H173,H173)-1),(RANK(H173,H$11:H$343)+COUNTIF(H$11:H173,H173)-1)))</f>
        <v/>
      </c>
      <c r="J173" s="41"/>
      <c r="K173" s="36" t="str">
        <f t="shared" si="85"/>
        <v/>
      </c>
      <c r="L173" t="str">
        <f t="shared" si="86"/>
        <v/>
      </c>
      <c r="M173" s="117" t="str">
        <f t="shared" si="87"/>
        <v/>
      </c>
      <c r="N173" s="112" t="str">
        <f t="shared" si="88"/>
        <v/>
      </c>
      <c r="O173" s="96" t="str">
        <f t="shared" si="89"/>
        <v/>
      </c>
      <c r="P173" s="96" t="str">
        <f t="shared" si="90"/>
        <v/>
      </c>
      <c r="Q173" s="96" t="str">
        <f t="shared" si="91"/>
        <v/>
      </c>
      <c r="R173" s="92" t="str">
        <f t="shared" si="92"/>
        <v/>
      </c>
      <c r="S173" s="42" t="str">
        <f t="shared" si="93"/>
        <v/>
      </c>
      <c r="T173" s="167" t="str">
        <f>IF(L173="","",VLOOKUP(L173,classifications!C:K,9,FALSE))</f>
        <v/>
      </c>
      <c r="U173" s="168" t="str">
        <f t="shared" si="94"/>
        <v/>
      </c>
      <c r="V173" s="174" t="str">
        <f>IF(U173="","",IF($I$8="A",(RANK(U173,U$11:U$343)+COUNTIF(U$11:U173,U173)-1),(RANK(U173,U$11:U$343,1)+COUNTIF(U$11:U173,U173)-1)))</f>
        <v/>
      </c>
      <c r="W173" s="175"/>
      <c r="X173" s="5" t="str">
        <f>IF(L173="","",VLOOKUP($L173,classifications!$C:$J,6,FALSE))</f>
        <v/>
      </c>
      <c r="Y173" t="str">
        <f t="shared" si="95"/>
        <v/>
      </c>
      <c r="Z173" s="40" t="str">
        <f>IF(Y173="","",IF(I$8="A",(RANK(Y173,Y$11:Y$343,1)+COUNTIF(Y$11:Y173,Y173)-1),(RANK(Y173,Y$11:Y$343)+COUNTIF(Y$11:Y173,Y173)-1)))</f>
        <v/>
      </c>
      <c r="AA173" s="180" t="str">
        <f>IF(L173="","",VLOOKUP($L173,classifications!C:I,7,FALSE))</f>
        <v/>
      </c>
      <c r="AB173" s="174" t="str">
        <f t="shared" si="96"/>
        <v/>
      </c>
      <c r="AC173" s="174" t="str">
        <f>IF(AB173="","",IF($I$8="A",(RANK(AB173,AB$11:AB$343)+COUNTIF(AB$11:AB173,AB173)-1),(RANK(AB173,AB$11:AB$343,1)+COUNTIF(AB$11:AB173,AB173)-1)))</f>
        <v/>
      </c>
      <c r="AD173" s="174"/>
      <c r="AE173" s="36" t="str">
        <f t="shared" si="97"/>
        <v/>
      </c>
      <c r="AG173" s="15"/>
      <c r="AH173" s="3"/>
      <c r="AI173" s="5" t="str">
        <f>IF(L173="","",VLOOKUP($L173,classifications!$C:$J,8,FALSE))</f>
        <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
      </c>
      <c r="AQ173" s="43" t="str">
        <f t="shared" si="102"/>
        <v/>
      </c>
      <c r="AR173" s="40" t="str">
        <f>IF(AQ173="","",IF(I$8="A",(RANK(AQ173,AQ$11:AQ$343,1)+COUNTIF(AQ$11:AQ173,AQ173)-1),(RANK(AQ173,AQ$11:AQ$343)+COUNTIF(AQ$11:AQ173,AQ173)-1)))</f>
        <v/>
      </c>
      <c r="AS173" s="3" t="str">
        <f t="shared" si="103"/>
        <v/>
      </c>
      <c r="AT173" s="40" t="str">
        <f t="shared" si="104"/>
        <v/>
      </c>
      <c r="AU173" s="43" t="str">
        <f t="shared" si="105"/>
        <v/>
      </c>
      <c r="AX173">
        <f>HLOOKUP($AX$9&amp;$AX$10,Data!$A$1:$ZZ$1980,(MATCH($C173,Data!$A$1:$A$1980,0)),FALSE)</f>
        <v>560.4</v>
      </c>
    </row>
    <row r="174" spans="1:50">
      <c r="A174" s="59" t="str">
        <f>$D$1&amp;164</f>
        <v>UA164</v>
      </c>
      <c r="B174" s="60">
        <f>IF(ISERROR(VLOOKUP(A177,classifications!A:C,3,FALSE)),0,VLOOKUP(A177,classifications!A:C,3,FALSE))</f>
        <v>0</v>
      </c>
      <c r="C174" t="s">
        <v>236</v>
      </c>
      <c r="D174" t="str">
        <f>VLOOKUP($C174,classifications!$C:$J,4,FALSE)</f>
        <v>MD</v>
      </c>
      <c r="E174">
        <f>VLOOKUP(C174,classifications!C:K,9,FALSE)</f>
        <v>0</v>
      </c>
      <c r="F174">
        <f t="shared" si="83"/>
        <v>633.5</v>
      </c>
      <c r="G174" s="15"/>
      <c r="H174" s="42" t="str">
        <f t="shared" si="84"/>
        <v/>
      </c>
      <c r="I174" s="79" t="str">
        <f>IF(H174="","",IF($I$8="A",(RANK(H174,H$11:H$343,1)+COUNTIF(H$11:H174,H174)-1),(RANK(H174,H$11:H$343)+COUNTIF(H$11:H174,H174)-1)))</f>
        <v/>
      </c>
      <c r="J174" s="41"/>
      <c r="K174" s="36" t="str">
        <f t="shared" si="85"/>
        <v/>
      </c>
      <c r="L174" t="str">
        <f t="shared" si="86"/>
        <v/>
      </c>
      <c r="M174" s="117" t="str">
        <f t="shared" si="87"/>
        <v/>
      </c>
      <c r="N174" s="112" t="str">
        <f t="shared" si="88"/>
        <v/>
      </c>
      <c r="O174" s="96" t="str">
        <f t="shared" si="89"/>
        <v/>
      </c>
      <c r="P174" s="96" t="str">
        <f t="shared" si="90"/>
        <v/>
      </c>
      <c r="Q174" s="96" t="str">
        <f t="shared" si="91"/>
        <v/>
      </c>
      <c r="R174" s="92" t="str">
        <f t="shared" si="92"/>
        <v/>
      </c>
      <c r="S174" s="42" t="str">
        <f t="shared" si="93"/>
        <v/>
      </c>
      <c r="T174" s="167" t="str">
        <f>IF(L174="","",VLOOKUP(L174,classifications!C:K,9,FALSE))</f>
        <v/>
      </c>
      <c r="U174" s="168" t="str">
        <f t="shared" si="94"/>
        <v/>
      </c>
      <c r="V174" s="174" t="str">
        <f>IF(U174="","",IF($I$8="A",(RANK(U174,U$11:U$343)+COUNTIF(U$11:U174,U174)-1),(RANK(U174,U$11:U$343,1)+COUNTIF(U$11:U174,U174)-1)))</f>
        <v/>
      </c>
      <c r="W174" s="175"/>
      <c r="X174" s="5" t="str">
        <f>IF(L174="","",VLOOKUP($L174,classifications!$C:$J,6,FALSE))</f>
        <v/>
      </c>
      <c r="Y174" t="str">
        <f t="shared" si="95"/>
        <v/>
      </c>
      <c r="Z174" s="40" t="str">
        <f>IF(Y174="","",IF(I$8="A",(RANK(Y174,Y$11:Y$343,1)+COUNTIF(Y$11:Y174,Y174)-1),(RANK(Y174,Y$11:Y$343)+COUNTIF(Y$11:Y174,Y174)-1)))</f>
        <v/>
      </c>
      <c r="AA174" s="180" t="str">
        <f>IF(L174="","",VLOOKUP($L174,classifications!C:I,7,FALSE))</f>
        <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f>HLOOKUP($AX$9&amp;$AX$10,Data!$A$1:$ZZ$1980,(MATCH($C174,Data!$A$1:$A$1980,0)),FALSE)</f>
        <v>633.5</v>
      </c>
    </row>
    <row r="175" spans="1:50">
      <c r="A175" s="59" t="str">
        <f>$D$1&amp;165</f>
        <v>UA165</v>
      </c>
      <c r="B175" s="60">
        <f>IF(ISERROR(VLOOKUP(A178,classifications!A:C,3,FALSE)),0,VLOOKUP(A178,classifications!A:C,3,FALSE))</f>
        <v>0</v>
      </c>
      <c r="C175" t="s">
        <v>273</v>
      </c>
      <c r="D175" t="str">
        <f>VLOOKUP($C175,classifications!$C:$J,4,FALSE)</f>
        <v>UA</v>
      </c>
      <c r="E175">
        <f>VLOOKUP(C175,classifications!C:K,9,FALSE)</f>
        <v>0</v>
      </c>
      <c r="F175">
        <f t="shared" si="83"/>
        <v>664.8</v>
      </c>
      <c r="G175" s="15"/>
      <c r="H175" s="42">
        <f t="shared" si="84"/>
        <v>664.8</v>
      </c>
      <c r="I175" s="79">
        <f>IF(H175="","",IF($I$8="A",(RANK(H175,H$11:H$343,1)+COUNTIF(H$11:H175,H175)-1),(RANK(H175,H$11:H$343)+COUNTIF(H$11:H175,H175)-1)))</f>
        <v>55</v>
      </c>
      <c r="J175" s="41"/>
      <c r="K175" s="36" t="str">
        <f t="shared" si="85"/>
        <v/>
      </c>
      <c r="L175" t="str">
        <f t="shared" si="86"/>
        <v/>
      </c>
      <c r="M175" s="117" t="str">
        <f t="shared" si="87"/>
        <v/>
      </c>
      <c r="N175" s="112" t="str">
        <f t="shared" si="88"/>
        <v/>
      </c>
      <c r="O175" s="96" t="str">
        <f t="shared" si="89"/>
        <v/>
      </c>
      <c r="P175" s="96" t="str">
        <f t="shared" si="90"/>
        <v/>
      </c>
      <c r="Q175" s="96" t="str">
        <f t="shared" si="91"/>
        <v/>
      </c>
      <c r="R175" s="92" t="str">
        <f t="shared" si="92"/>
        <v/>
      </c>
      <c r="S175" s="42" t="str">
        <f t="shared" si="93"/>
        <v/>
      </c>
      <c r="T175" s="167" t="str">
        <f>IF(L175="","",VLOOKUP(L175,classifications!C:K,9,FALSE))</f>
        <v/>
      </c>
      <c r="U175" s="168" t="str">
        <f t="shared" si="94"/>
        <v/>
      </c>
      <c r="V175" s="174" t="str">
        <f>IF(U175="","",IF($I$8="A",(RANK(U175,U$11:U$343)+COUNTIF(U$11:U175,U175)-1),(RANK(U175,U$11:U$343,1)+COUNTIF(U$11:U175,U175)-1)))</f>
        <v/>
      </c>
      <c r="W175" s="175"/>
      <c r="X175" s="5" t="str">
        <f>IF(L175="","",VLOOKUP($L175,classifications!$C:$J,6,FALSE))</f>
        <v/>
      </c>
      <c r="Y175" t="str">
        <f t="shared" si="95"/>
        <v/>
      </c>
      <c r="Z175" s="40" t="str">
        <f>IF(Y175="","",IF(I$8="A",(RANK(Y175,Y$11:Y$343,1)+COUNTIF(Y$11:Y175,Y175)-1),(RANK(Y175,Y$11:Y$343)+COUNTIF(Y$11:Y175,Y175)-1)))</f>
        <v/>
      </c>
      <c r="AA175" s="180" t="str">
        <f>IF(L175="","",VLOOKUP($L175,classifications!C:I,7,FALSE))</f>
        <v/>
      </c>
      <c r="AB175" s="174" t="str">
        <f t="shared" si="96"/>
        <v/>
      </c>
      <c r="AC175" s="174" t="str">
        <f>IF(AB175="","",IF($I$8="A",(RANK(AB175,AB$11:AB$343)+COUNTIF(AB$11:AB175,AB175)-1),(RANK(AB175,AB$11:AB$343,1)+COUNTIF(AB$11:AB175,AB175)-1)))</f>
        <v/>
      </c>
      <c r="AD175" s="174"/>
      <c r="AE175" s="36" t="str">
        <f t="shared" si="97"/>
        <v/>
      </c>
      <c r="AG175" s="15"/>
      <c r="AH175" s="3"/>
      <c r="AI175" s="5" t="str">
        <f>IF(L175="","",VLOOKUP($L175,classifications!$C:$J,8,FALSE))</f>
        <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664.8</v>
      </c>
    </row>
    <row r="176" spans="1:50">
      <c r="A176" s="59" t="str">
        <f>$D$1&amp;166</f>
        <v>UA166</v>
      </c>
      <c r="B176" s="60">
        <f>IF(ISERROR(VLOOKUP(A179,classifications!A:C,3,FALSE)),0,VLOOKUP(A179,classifications!A:C,3,FALSE))</f>
        <v>0</v>
      </c>
      <c r="C176" t="s">
        <v>96</v>
      </c>
      <c r="D176" t="str">
        <f>VLOOKUP($C176,classifications!$C:$J,4,FALSE)</f>
        <v>SD</v>
      </c>
      <c r="E176">
        <f>VLOOKUP(C176,classifications!C:K,9,FALSE)</f>
        <v>0</v>
      </c>
      <c r="F176">
        <f t="shared" si="83"/>
        <v>381.9</v>
      </c>
      <c r="G176" s="15"/>
      <c r="H176" s="42" t="str">
        <f t="shared" si="84"/>
        <v/>
      </c>
      <c r="I176" s="79" t="str">
        <f>IF(H176="","",IF($I$8="A",(RANK(H176,H$11:H$343,1)+COUNTIF(H$11:H176,H176)-1),(RANK(H176,H$11:H$343)+COUNTIF(H$11:H176,H176)-1)))</f>
        <v/>
      </c>
      <c r="J176" s="41"/>
      <c r="K176" s="36" t="str">
        <f t="shared" si="85"/>
        <v/>
      </c>
      <c r="L176" t="str">
        <f t="shared" si="86"/>
        <v/>
      </c>
      <c r="M176" s="117" t="str">
        <f t="shared" si="87"/>
        <v/>
      </c>
      <c r="N176" s="112" t="str">
        <f t="shared" si="88"/>
        <v/>
      </c>
      <c r="O176" s="96" t="str">
        <f t="shared" si="89"/>
        <v/>
      </c>
      <c r="P176" s="96" t="str">
        <f t="shared" si="90"/>
        <v/>
      </c>
      <c r="Q176" s="96" t="str">
        <f t="shared" si="91"/>
        <v/>
      </c>
      <c r="R176" s="92" t="str">
        <f t="shared" si="92"/>
        <v/>
      </c>
      <c r="S176" s="42" t="str">
        <f t="shared" si="93"/>
        <v/>
      </c>
      <c r="T176" s="167" t="str">
        <f>IF(L176="","",VLOOKUP(L176,classifications!C:K,9,FALSE))</f>
        <v/>
      </c>
      <c r="U176" s="168" t="str">
        <f t="shared" si="94"/>
        <v/>
      </c>
      <c r="V176" s="174" t="str">
        <f>IF(U176="","",IF($I$8="A",(RANK(U176,U$11:U$343)+COUNTIF(U$11:U176,U176)-1),(RANK(U176,U$11:U$343,1)+COUNTIF(U$11:U176,U176)-1)))</f>
        <v/>
      </c>
      <c r="W176" s="175"/>
      <c r="X176" s="5" t="str">
        <f>IF(L176="","",VLOOKUP($L176,classifications!$C:$J,6,FALSE))</f>
        <v/>
      </c>
      <c r="Y176" t="str">
        <f t="shared" si="95"/>
        <v/>
      </c>
      <c r="Z176" s="40" t="str">
        <f>IF(Y176="","",IF(I$8="A",(RANK(Y176,Y$11:Y$343,1)+COUNTIF(Y$11:Y176,Y176)-1),(RANK(Y176,Y$11:Y$343)+COUNTIF(Y$11:Y176,Y176)-1)))</f>
        <v/>
      </c>
      <c r="AA176" s="180" t="str">
        <f>IF(L176="","",VLOOKUP($L176,classifications!C:I,7,FALSE))</f>
        <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f>HLOOKUP($AX$9&amp;$AX$10,Data!$A$1:$ZZ$1980,(MATCH($C176,Data!$A$1:$A$1980,0)),FALSE)</f>
        <v>381.9</v>
      </c>
    </row>
    <row r="177" spans="1:50">
      <c r="A177" s="59" t="str">
        <f>$D$1&amp;167</f>
        <v>UA167</v>
      </c>
      <c r="B177" s="60">
        <f>IF(ISERROR(VLOOKUP(A180,classifications!A:C,3,FALSE)),0,VLOOKUP(A180,classifications!A:C,3,FALSE))</f>
        <v>0</v>
      </c>
      <c r="C177" t="s">
        <v>97</v>
      </c>
      <c r="D177" t="str">
        <f>VLOOKUP($C177,classifications!$C:$J,4,FALSE)</f>
        <v>SD</v>
      </c>
      <c r="E177">
        <f>VLOOKUP(C177,classifications!C:K,9,FALSE)</f>
        <v>0</v>
      </c>
      <c r="F177">
        <f t="shared" si="83"/>
        <v>347.5</v>
      </c>
      <c r="G177" s="15"/>
      <c r="H177" s="42" t="str">
        <f t="shared" si="84"/>
        <v/>
      </c>
      <c r="I177" s="79" t="str">
        <f>IF(H177="","",IF($I$8="A",(RANK(H177,H$11:H$343,1)+COUNTIF(H$11:H177,H177)-1),(RANK(H177,H$11:H$343)+COUNTIF(H$11:H177,H177)-1)))</f>
        <v/>
      </c>
      <c r="J177" s="41"/>
      <c r="K177" s="36" t="str">
        <f t="shared" si="85"/>
        <v/>
      </c>
      <c r="L177" t="str">
        <f t="shared" si="86"/>
        <v/>
      </c>
      <c r="M177" s="117" t="str">
        <f t="shared" si="87"/>
        <v/>
      </c>
      <c r="N177" s="112" t="str">
        <f t="shared" si="88"/>
        <v/>
      </c>
      <c r="O177" s="96" t="str">
        <f t="shared" si="89"/>
        <v/>
      </c>
      <c r="P177" s="96" t="str">
        <f t="shared" si="90"/>
        <v/>
      </c>
      <c r="Q177" s="96" t="str">
        <f t="shared" si="91"/>
        <v/>
      </c>
      <c r="R177" s="92" t="str">
        <f t="shared" si="92"/>
        <v/>
      </c>
      <c r="S177" s="42" t="str">
        <f t="shared" si="93"/>
        <v/>
      </c>
      <c r="T177" s="167" t="str">
        <f>IF(L177="","",VLOOKUP(L177,classifications!C:K,9,FALSE))</f>
        <v/>
      </c>
      <c r="U177" s="168" t="str">
        <f t="shared" si="94"/>
        <v/>
      </c>
      <c r="V177" s="174" t="str">
        <f>IF(U177="","",IF($I$8="A",(RANK(U177,U$11:U$343)+COUNTIF(U$11:U177,U177)-1),(RANK(U177,U$11:U$343,1)+COUNTIF(U$11:U177,U177)-1)))</f>
        <v/>
      </c>
      <c r="W177" s="175"/>
      <c r="X177" s="5" t="str">
        <f>IF(L177="","",VLOOKUP($L177,classifications!$C:$J,6,FALSE))</f>
        <v/>
      </c>
      <c r="Y177" t="str">
        <f t="shared" si="95"/>
        <v/>
      </c>
      <c r="Z177" s="40" t="str">
        <f>IF(Y177="","",IF(I$8="A",(RANK(Y177,Y$11:Y$343,1)+COUNTIF(Y$11:Y177,Y177)-1),(RANK(Y177,Y$11:Y$343)+COUNTIF(Y$11:Y177,Y177)-1)))</f>
        <v/>
      </c>
      <c r="AA177" s="180" t="str">
        <f>IF(L177="","",VLOOKUP($L177,classifications!C:I,7,FALSE))</f>
        <v/>
      </c>
      <c r="AB177" s="174" t="str">
        <f t="shared" si="96"/>
        <v/>
      </c>
      <c r="AC177" s="174" t="str">
        <f>IF(AB177="","",IF($I$8="A",(RANK(AB177,AB$11:AB$343)+COUNTIF(AB$11:AB177,AB177)-1),(RANK(AB177,AB$11:AB$343,1)+COUNTIF(AB$11:AB177,AB177)-1)))</f>
        <v/>
      </c>
      <c r="AD177" s="174"/>
      <c r="AE177" s="36" t="str">
        <f t="shared" si="97"/>
        <v/>
      </c>
      <c r="AG177" s="15"/>
      <c r="AH177" s="3"/>
      <c r="AI177" s="5" t="str">
        <f>IF(L177="","",VLOOKUP($L177,classifications!$C:$J,8,FALSE))</f>
        <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f>HLOOKUP($AX$9&amp;$AX$10,Data!$A$1:$ZZ$1980,(MATCH($C177,Data!$A$1:$A$1980,0)),FALSE)</f>
        <v>347.5</v>
      </c>
    </row>
    <row r="178" spans="1:50">
      <c r="A178" s="59" t="str">
        <f>$D$1&amp;168</f>
        <v>UA168</v>
      </c>
      <c r="B178" s="60">
        <f>IF(ISERROR(VLOOKUP(A181,classifications!A:C,3,FALSE)),0,VLOOKUP(A181,classifications!A:C,3,FALSE))</f>
        <v>0</v>
      </c>
      <c r="C178" t="s">
        <v>98</v>
      </c>
      <c r="D178" t="str">
        <f>VLOOKUP($C178,classifications!$C:$J,4,FALSE)</f>
        <v>SD</v>
      </c>
      <c r="E178" t="str">
        <f>VLOOKUP(C178,classifications!C:K,9,FALSE)</f>
        <v>Sparse</v>
      </c>
      <c r="F178">
        <f t="shared" si="83"/>
        <v>393.1</v>
      </c>
      <c r="G178" s="15"/>
      <c r="H178" s="42" t="str">
        <f t="shared" si="84"/>
        <v/>
      </c>
      <c r="I178" s="79" t="str">
        <f>IF(H178="","",IF($I$8="A",(RANK(H178,H$11:H$343,1)+COUNTIF(H$11:H178,H178)-1),(RANK(H178,H$11:H$343)+COUNTIF(H$11:H178,H178)-1)))</f>
        <v/>
      </c>
      <c r="J178" s="41"/>
      <c r="K178" s="36" t="str">
        <f t="shared" si="85"/>
        <v/>
      </c>
      <c r="L178" t="str">
        <f t="shared" si="86"/>
        <v/>
      </c>
      <c r="M178" s="117" t="str">
        <f t="shared" si="87"/>
        <v/>
      </c>
      <c r="N178" s="112" t="str">
        <f t="shared" si="88"/>
        <v/>
      </c>
      <c r="O178" s="96" t="str">
        <f t="shared" si="89"/>
        <v/>
      </c>
      <c r="P178" s="96" t="str">
        <f t="shared" si="90"/>
        <v/>
      </c>
      <c r="Q178" s="96" t="str">
        <f t="shared" si="91"/>
        <v/>
      </c>
      <c r="R178" s="92" t="str">
        <f t="shared" si="92"/>
        <v/>
      </c>
      <c r="S178" s="42" t="str">
        <f t="shared" si="93"/>
        <v/>
      </c>
      <c r="T178" s="167" t="str">
        <f>IF(L178="","",VLOOKUP(L178,classifications!C:K,9,FALSE))</f>
        <v/>
      </c>
      <c r="U178" s="168" t="str">
        <f t="shared" si="94"/>
        <v/>
      </c>
      <c r="V178" s="174" t="str">
        <f>IF(U178="","",IF($I$8="A",(RANK(U178,U$11:U$343)+COUNTIF(U$11:U178,U178)-1),(RANK(U178,U$11:U$343,1)+COUNTIF(U$11:U178,U178)-1)))</f>
        <v/>
      </c>
      <c r="W178" s="175"/>
      <c r="X178" s="5" t="str">
        <f>IF(L178="","",VLOOKUP($L178,classifications!$C:$J,6,FALSE))</f>
        <v/>
      </c>
      <c r="Y178" t="str">
        <f t="shared" si="95"/>
        <v/>
      </c>
      <c r="Z178" s="40" t="str">
        <f>IF(Y178="","",IF(I$8="A",(RANK(Y178,Y$11:Y$343,1)+COUNTIF(Y$11:Y178,Y178)-1),(RANK(Y178,Y$11:Y$343)+COUNTIF(Y$11:Y178,Y178)-1)))</f>
        <v/>
      </c>
      <c r="AA178" s="180" t="str">
        <f>IF(L178="","",VLOOKUP($L178,classifications!C:I,7,FALSE))</f>
        <v/>
      </c>
      <c r="AB178" s="174" t="str">
        <f t="shared" si="96"/>
        <v/>
      </c>
      <c r="AC178" s="174" t="str">
        <f>IF(AB178="","",IF($I$8="A",(RANK(AB178,AB$11:AB$343)+COUNTIF(AB$11:AB178,AB178)-1),(RANK(AB178,AB$11:AB$343,1)+COUNTIF(AB$11:AB178,AB178)-1)))</f>
        <v/>
      </c>
      <c r="AD178" s="174"/>
      <c r="AE178" s="36" t="str">
        <f t="shared" si="97"/>
        <v/>
      </c>
      <c r="AG178" s="15"/>
      <c r="AH178" s="3"/>
      <c r="AI178" s="5" t="str">
        <f>IF(L178="","",VLOOKUP($L178,classifications!$C:$J,8,FALSE))</f>
        <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f>HLOOKUP($AX$9&amp;$AX$10,Data!$A$1:$ZZ$1980,(MATCH($C178,Data!$A$1:$A$1980,0)),FALSE)</f>
        <v>393.1</v>
      </c>
    </row>
    <row r="179" spans="1:50">
      <c r="A179" s="59" t="str">
        <f>$D$1&amp;169</f>
        <v>UA169</v>
      </c>
      <c r="B179" s="60">
        <f>IF(ISERROR(VLOOKUP(A182,classifications!A:C,3,FALSE)),0,VLOOKUP(A182,classifications!A:C,3,FALSE))</f>
        <v>0</v>
      </c>
      <c r="C179" t="s">
        <v>237</v>
      </c>
      <c r="D179" t="str">
        <f>VLOOKUP($C179,classifications!$C:$J,4,FALSE)</f>
        <v>MD</v>
      </c>
      <c r="E179">
        <f>VLOOKUP(C179,classifications!C:K,9,FALSE)</f>
        <v>0</v>
      </c>
      <c r="F179">
        <f t="shared" si="83"/>
        <v>401.3</v>
      </c>
      <c r="G179" s="15"/>
      <c r="H179" s="42" t="str">
        <f t="shared" si="84"/>
        <v/>
      </c>
      <c r="I179" s="79" t="str">
        <f>IF(H179="","",IF($I$8="A",(RANK(H179,H$11:H$343,1)+COUNTIF(H$11:H179,H179)-1),(RANK(H179,H$11:H$343)+COUNTIF(H$11:H179,H179)-1)))</f>
        <v/>
      </c>
      <c r="J179" s="41"/>
      <c r="K179" s="36" t="str">
        <f t="shared" si="85"/>
        <v/>
      </c>
      <c r="L179" t="str">
        <f t="shared" si="86"/>
        <v/>
      </c>
      <c r="M179" s="117" t="str">
        <f t="shared" si="87"/>
        <v/>
      </c>
      <c r="N179" s="112" t="str">
        <f t="shared" si="88"/>
        <v/>
      </c>
      <c r="O179" s="96" t="str">
        <f t="shared" si="89"/>
        <v/>
      </c>
      <c r="P179" s="96" t="str">
        <f t="shared" si="90"/>
        <v/>
      </c>
      <c r="Q179" s="96" t="str">
        <f t="shared" si="91"/>
        <v/>
      </c>
      <c r="R179" s="92" t="str">
        <f t="shared" si="92"/>
        <v/>
      </c>
      <c r="S179" s="42" t="str">
        <f t="shared" si="93"/>
        <v/>
      </c>
      <c r="T179" s="167" t="str">
        <f>IF(L179="","",VLOOKUP(L179,classifications!C:K,9,FALSE))</f>
        <v/>
      </c>
      <c r="U179" s="168" t="str">
        <f t="shared" si="94"/>
        <v/>
      </c>
      <c r="V179" s="174" t="str">
        <f>IF(U179="","",IF($I$8="A",(RANK(U179,U$11:U$343)+COUNTIF(U$11:U179,U179)-1),(RANK(U179,U$11:U$343,1)+COUNTIF(U$11:U179,U179)-1)))</f>
        <v/>
      </c>
      <c r="W179" s="175"/>
      <c r="X179" s="5" t="str">
        <f>IF(L179="","",VLOOKUP($L179,classifications!$C:$J,6,FALSE))</f>
        <v/>
      </c>
      <c r="Y179" t="str">
        <f t="shared" si="95"/>
        <v/>
      </c>
      <c r="Z179" s="40" t="str">
        <f>IF(Y179="","",IF(I$8="A",(RANK(Y179,Y$11:Y$343,1)+COUNTIF(Y$11:Y179,Y179)-1),(RANK(Y179,Y$11:Y$343)+COUNTIF(Y$11:Y179,Y179)-1)))</f>
        <v/>
      </c>
      <c r="AA179" s="180" t="str">
        <f>IF(L179="","",VLOOKUP($L179,classifications!C:I,7,FALSE))</f>
        <v/>
      </c>
      <c r="AB179" s="174" t="str">
        <f t="shared" si="96"/>
        <v/>
      </c>
      <c r="AC179" s="174" t="str">
        <f>IF(AB179="","",IF($I$8="A",(RANK(AB179,AB$11:AB$343)+COUNTIF(AB$11:AB179,AB179)-1),(RANK(AB179,AB$11:AB$343,1)+COUNTIF(AB$11:AB179,AB179)-1)))</f>
        <v/>
      </c>
      <c r="AD179" s="174"/>
      <c r="AE179" s="36" t="str">
        <f t="shared" si="97"/>
        <v/>
      </c>
      <c r="AG179" s="15"/>
      <c r="AH179" s="3"/>
      <c r="AI179" s="5" t="str">
        <f>IF(L179="","",VLOOKUP($L179,classifications!$C:$J,8,FALSE))</f>
        <v/>
      </c>
      <c r="AJ179" s="43" t="str">
        <f t="shared" si="98"/>
        <v/>
      </c>
      <c r="AK179" s="40" t="str">
        <f>IF(AJ179="","",IF(I$8="A",(RANK(AJ179,AJ$11:AJ$343,1)+COUNTIF(AJ$11:AJ179,AJ179)-1),(RANK(AJ179,AJ$11:AJ$343)+COUNTIF(AJ$11:AJ179,AJ179)-1)))</f>
        <v/>
      </c>
      <c r="AL179" s="3" t="str">
        <f t="shared" si="99"/>
        <v/>
      </c>
      <c r="AM179" t="str">
        <f t="shared" si="100"/>
        <v/>
      </c>
      <c r="AN179" t="str">
        <f t="shared" si="101"/>
        <v/>
      </c>
      <c r="AP179" s="5" t="str">
        <f>IF(L179="","",VLOOKUP($L179,classifications!$C:$E,3,FALSE))</f>
        <v/>
      </c>
      <c r="AQ179" s="43" t="str">
        <f t="shared" si="102"/>
        <v/>
      </c>
      <c r="AR179" s="40" t="str">
        <f>IF(AQ179="","",IF(I$8="A",(RANK(AQ179,AQ$11:AQ$343,1)+COUNTIF(AQ$11:AQ179,AQ179)-1),(RANK(AQ179,AQ$11:AQ$343)+COUNTIF(AQ$11:AQ179,AQ179)-1)))</f>
        <v/>
      </c>
      <c r="AS179" s="3" t="str">
        <f t="shared" si="103"/>
        <v/>
      </c>
      <c r="AT179" s="40" t="str">
        <f t="shared" si="104"/>
        <v/>
      </c>
      <c r="AU179" s="43" t="str">
        <f t="shared" si="105"/>
        <v/>
      </c>
      <c r="AX179">
        <f>HLOOKUP($AX$9&amp;$AX$10,Data!$A$1:$ZZ$1980,(MATCH($C179,Data!$A$1:$A$1980,0)),FALSE)</f>
        <v>401.3</v>
      </c>
    </row>
    <row r="180" spans="1:50">
      <c r="A180" s="59" t="str">
        <f>$D$1&amp;170</f>
        <v>UA170</v>
      </c>
      <c r="B180" s="60">
        <f>IF(ISERROR(VLOOKUP(A183,classifications!A:C,3,FALSE)),0,VLOOKUP(A183,classifications!A:C,3,FALSE))</f>
        <v>0</v>
      </c>
      <c r="C180" t="s">
        <v>99</v>
      </c>
      <c r="D180" t="str">
        <f>VLOOKUP($C180,classifications!$C:$J,4,FALSE)</f>
        <v>SD</v>
      </c>
      <c r="E180">
        <f>VLOOKUP(C180,classifications!C:K,9,FALSE)</f>
        <v>0</v>
      </c>
      <c r="F180">
        <f t="shared" si="83"/>
        <v>586.6</v>
      </c>
      <c r="G180" s="15"/>
      <c r="H180" s="42" t="str">
        <f t="shared" si="84"/>
        <v/>
      </c>
      <c r="I180" s="79" t="str">
        <f>IF(H180="","",IF($I$8="A",(RANK(H180,H$11:H$343,1)+COUNTIF(H$11:H180,H180)-1),(RANK(H180,H$11:H$343)+COUNTIF(H$11:H180,H180)-1)))</f>
        <v/>
      </c>
      <c r="J180" s="41"/>
      <c r="K180" s="36" t="str">
        <f t="shared" si="85"/>
        <v/>
      </c>
      <c r="L180" t="str">
        <f t="shared" si="86"/>
        <v/>
      </c>
      <c r="M180" s="117" t="str">
        <f t="shared" si="87"/>
        <v/>
      </c>
      <c r="N180" s="112" t="str">
        <f t="shared" si="88"/>
        <v/>
      </c>
      <c r="O180" s="96" t="str">
        <f t="shared" si="89"/>
        <v/>
      </c>
      <c r="P180" s="96" t="str">
        <f t="shared" si="90"/>
        <v/>
      </c>
      <c r="Q180" s="96" t="str">
        <f t="shared" si="91"/>
        <v/>
      </c>
      <c r="R180" s="92" t="str">
        <f t="shared" si="92"/>
        <v/>
      </c>
      <c r="S180" s="42" t="str">
        <f t="shared" si="93"/>
        <v/>
      </c>
      <c r="T180" s="167" t="str">
        <f>IF(L180="","",VLOOKUP(L180,classifications!C:K,9,FALSE))</f>
        <v/>
      </c>
      <c r="U180" s="168" t="str">
        <f t="shared" si="94"/>
        <v/>
      </c>
      <c r="V180" s="174" t="str">
        <f>IF(U180="","",IF($I$8="A",(RANK(U180,U$11:U$343)+COUNTIF(U$11:U180,U180)-1),(RANK(U180,U$11:U$343,1)+COUNTIF(U$11:U180,U180)-1)))</f>
        <v/>
      </c>
      <c r="W180" s="175"/>
      <c r="X180" s="5" t="str">
        <f>IF(L180="","",VLOOKUP($L180,classifications!$C:$J,6,FALSE))</f>
        <v/>
      </c>
      <c r="Y180" t="str">
        <f t="shared" si="95"/>
        <v/>
      </c>
      <c r="Z180" s="40" t="str">
        <f>IF(Y180="","",IF(I$8="A",(RANK(Y180,Y$11:Y$343,1)+COUNTIF(Y$11:Y180,Y180)-1),(RANK(Y180,Y$11:Y$343)+COUNTIF(Y$11:Y180,Y180)-1)))</f>
        <v/>
      </c>
      <c r="AA180" s="180" t="str">
        <f>IF(L180="","",VLOOKUP($L180,classifications!C:I,7,FALSE))</f>
        <v/>
      </c>
      <c r="AB180" s="174" t="str">
        <f t="shared" si="96"/>
        <v/>
      </c>
      <c r="AC180" s="174" t="str">
        <f>IF(AB180="","",IF($I$8="A",(RANK(AB180,AB$11:AB$343)+COUNTIF(AB$11:AB180,AB180)-1),(RANK(AB180,AB$11:AB$343,1)+COUNTIF(AB$11:AB180,AB180)-1)))</f>
        <v/>
      </c>
      <c r="AD180" s="174"/>
      <c r="AE180" s="36" t="str">
        <f t="shared" si="97"/>
        <v/>
      </c>
      <c r="AG180" s="15"/>
      <c r="AH180" s="3"/>
      <c r="AI180" s="5" t="str">
        <f>IF(L180="","",VLOOKUP($L180,classifications!$C:$J,8,FALSE))</f>
        <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
      </c>
      <c r="AQ180" s="43" t="str">
        <f t="shared" si="102"/>
        <v/>
      </c>
      <c r="AR180" s="40" t="str">
        <f>IF(AQ180="","",IF(I$8="A",(RANK(AQ180,AQ$11:AQ$343,1)+COUNTIF(AQ$11:AQ180,AQ180)-1),(RANK(AQ180,AQ$11:AQ$343)+COUNTIF(AQ$11:AQ180,AQ180)-1)))</f>
        <v/>
      </c>
      <c r="AS180" s="3" t="str">
        <f t="shared" si="103"/>
        <v/>
      </c>
      <c r="AT180" s="40" t="str">
        <f t="shared" si="104"/>
        <v/>
      </c>
      <c r="AU180" s="43" t="str">
        <f t="shared" si="105"/>
        <v/>
      </c>
      <c r="AX180">
        <f>HLOOKUP($AX$9&amp;$AX$10,Data!$A$1:$ZZ$1980,(MATCH($C180,Data!$A$1:$A$1980,0)),FALSE)</f>
        <v>586.6</v>
      </c>
    </row>
    <row r="181" spans="1:50">
      <c r="A181" s="59" t="str">
        <f>$D$1&amp;171</f>
        <v>UA171</v>
      </c>
      <c r="B181" s="60">
        <f>IF(ISERROR(VLOOKUP(A184,classifications!A:C,3,FALSE)),0,VLOOKUP(A184,classifications!A:C,3,FALSE))</f>
        <v>0</v>
      </c>
      <c r="C181" t="s">
        <v>274</v>
      </c>
      <c r="D181" t="str">
        <f>VLOOKUP($C181,classifications!$C:$J,4,FALSE)</f>
        <v>UA</v>
      </c>
      <c r="E181">
        <f>VLOOKUP(C181,classifications!C:K,9,FALSE)</f>
        <v>0</v>
      </c>
      <c r="F181">
        <f t="shared" si="83"/>
        <v>599.5</v>
      </c>
      <c r="G181" s="15"/>
      <c r="H181" s="42">
        <f t="shared" si="84"/>
        <v>599.5</v>
      </c>
      <c r="I181" s="79">
        <f>IF(H181="","",IF($I$8="A",(RANK(H181,H$11:H$343,1)+COUNTIF(H$11:H181,H181)-1),(RANK(H181,H$11:H$343)+COUNTIF(H$11:H181,H181)-1)))</f>
        <v>51</v>
      </c>
      <c r="J181" s="41"/>
      <c r="K181" s="36" t="str">
        <f t="shared" si="85"/>
        <v/>
      </c>
      <c r="L181" t="str">
        <f t="shared" si="86"/>
        <v/>
      </c>
      <c r="M181" s="117" t="str">
        <f t="shared" si="87"/>
        <v/>
      </c>
      <c r="N181" s="112" t="str">
        <f t="shared" si="88"/>
        <v/>
      </c>
      <c r="O181" s="96" t="str">
        <f t="shared" si="89"/>
        <v/>
      </c>
      <c r="P181" s="96" t="str">
        <f t="shared" si="90"/>
        <v/>
      </c>
      <c r="Q181" s="96" t="str">
        <f t="shared" si="91"/>
        <v/>
      </c>
      <c r="R181" s="92" t="str">
        <f t="shared" si="92"/>
        <v/>
      </c>
      <c r="S181" s="42" t="str">
        <f t="shared" si="93"/>
        <v/>
      </c>
      <c r="T181" s="167" t="str">
        <f>IF(L181="","",VLOOKUP(L181,classifications!C:K,9,FALSE))</f>
        <v/>
      </c>
      <c r="U181" s="168" t="str">
        <f t="shared" si="94"/>
        <v/>
      </c>
      <c r="V181" s="174" t="str">
        <f>IF(U181="","",IF($I$8="A",(RANK(U181,U$11:U$343)+COUNTIF(U$11:U181,U181)-1),(RANK(U181,U$11:U$343,1)+COUNTIF(U$11:U181,U181)-1)))</f>
        <v/>
      </c>
      <c r="W181" s="175"/>
      <c r="X181" s="5" t="str">
        <f>IF(L181="","",VLOOKUP($L181,classifications!$C:$J,6,FALSE))</f>
        <v/>
      </c>
      <c r="Y181" t="str">
        <f t="shared" si="95"/>
        <v/>
      </c>
      <c r="Z181" s="40" t="str">
        <f>IF(Y181="","",IF(I$8="A",(RANK(Y181,Y$11:Y$343,1)+COUNTIF(Y$11:Y181,Y181)-1),(RANK(Y181,Y$11:Y$343)+COUNTIF(Y$11:Y181,Y181)-1)))</f>
        <v/>
      </c>
      <c r="AA181" s="180" t="str">
        <f>IF(L181="","",VLOOKUP($L181,classifications!C:I,7,FALSE))</f>
        <v/>
      </c>
      <c r="AB181" s="174" t="str">
        <f t="shared" si="96"/>
        <v/>
      </c>
      <c r="AC181" s="174" t="str">
        <f>IF(AB181="","",IF($I$8="A",(RANK(AB181,AB$11:AB$343)+COUNTIF(AB$11:AB181,AB181)-1),(RANK(AB181,AB$11:AB$343,1)+COUNTIF(AB$11:AB181,AB181)-1)))</f>
        <v/>
      </c>
      <c r="AD181" s="174"/>
      <c r="AE181" s="36" t="str">
        <f t="shared" si="97"/>
        <v/>
      </c>
      <c r="AG181" s="15"/>
      <c r="AH181" s="3"/>
      <c r="AI181" s="5" t="str">
        <f>IF(L181="","",VLOOKUP($L181,classifications!$C:$J,8,FALSE))</f>
        <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599.5</v>
      </c>
    </row>
    <row r="182" spans="1:50">
      <c r="A182" s="59" t="str">
        <f>$D$1&amp;172</f>
        <v>UA172</v>
      </c>
      <c r="B182" s="60">
        <f>IF(ISERROR(VLOOKUP(A185,classifications!A:C,3,FALSE)),0,VLOOKUP(A185,classifications!A:C,3,FALSE))</f>
        <v>0</v>
      </c>
      <c r="C182" t="s">
        <v>100</v>
      </c>
      <c r="D182" t="str">
        <f>VLOOKUP($C182,classifications!$C:$J,4,FALSE)</f>
        <v>SD</v>
      </c>
      <c r="E182" t="str">
        <f>VLOOKUP(C182,classifications!C:K,9,FALSE)</f>
        <v>Sparse</v>
      </c>
      <c r="F182">
        <f t="shared" si="83"/>
        <v>482.7</v>
      </c>
      <c r="G182" s="15"/>
      <c r="H182" s="42" t="str">
        <f t="shared" si="84"/>
        <v/>
      </c>
      <c r="I182" s="79" t="str">
        <f>IF(H182="","",IF($I$8="A",(RANK(H182,H$11:H$343,1)+COUNTIF(H$11:H182,H182)-1),(RANK(H182,H$11:H$343)+COUNTIF(H$11:H182,H182)-1)))</f>
        <v/>
      </c>
      <c r="J182" s="41"/>
      <c r="K182" s="36" t="str">
        <f t="shared" si="85"/>
        <v/>
      </c>
      <c r="L182" t="str">
        <f t="shared" si="86"/>
        <v/>
      </c>
      <c r="M182" s="117" t="str">
        <f t="shared" si="87"/>
        <v/>
      </c>
      <c r="N182" s="112" t="str">
        <f t="shared" si="88"/>
        <v/>
      </c>
      <c r="O182" s="96" t="str">
        <f t="shared" si="89"/>
        <v/>
      </c>
      <c r="P182" s="96" t="str">
        <f t="shared" si="90"/>
        <v/>
      </c>
      <c r="Q182" s="96" t="str">
        <f t="shared" si="91"/>
        <v/>
      </c>
      <c r="R182" s="92" t="str">
        <f t="shared" si="92"/>
        <v/>
      </c>
      <c r="S182" s="42" t="str">
        <f t="shared" si="93"/>
        <v/>
      </c>
      <c r="T182" s="167" t="str">
        <f>IF(L182="","",VLOOKUP(L182,classifications!C:K,9,FALSE))</f>
        <v/>
      </c>
      <c r="U182" s="168" t="str">
        <f t="shared" si="94"/>
        <v/>
      </c>
      <c r="V182" s="174" t="str">
        <f>IF(U182="","",IF($I$8="A",(RANK(U182,U$11:U$343)+COUNTIF(U$11:U182,U182)-1),(RANK(U182,U$11:U$343,1)+COUNTIF(U$11:U182,U182)-1)))</f>
        <v/>
      </c>
      <c r="W182" s="175"/>
      <c r="X182" s="5" t="str">
        <f>IF(L182="","",VLOOKUP($L182,classifications!$C:$J,6,FALSE))</f>
        <v/>
      </c>
      <c r="Y182" t="str">
        <f t="shared" si="95"/>
        <v/>
      </c>
      <c r="Z182" s="40" t="str">
        <f>IF(Y182="","",IF(I$8="A",(RANK(Y182,Y$11:Y$343,1)+COUNTIF(Y$11:Y182,Y182)-1),(RANK(Y182,Y$11:Y$343)+COUNTIF(Y$11:Y182,Y182)-1)))</f>
        <v/>
      </c>
      <c r="AA182" s="180" t="str">
        <f>IF(L182="","",VLOOKUP($L182,classifications!C:I,7,FALSE))</f>
        <v/>
      </c>
      <c r="AB182" s="174" t="str">
        <f t="shared" si="96"/>
        <v/>
      </c>
      <c r="AC182" s="174" t="str">
        <f>IF(AB182="","",IF($I$8="A",(RANK(AB182,AB$11:AB$343)+COUNTIF(AB$11:AB182,AB182)-1),(RANK(AB182,AB$11:AB$343,1)+COUNTIF(AB$11:AB182,AB182)-1)))</f>
        <v/>
      </c>
      <c r="AD182" s="174"/>
      <c r="AE182" s="36" t="str">
        <f t="shared" si="97"/>
        <v/>
      </c>
      <c r="AG182" s="15"/>
      <c r="AH182" s="3"/>
      <c r="AI182" s="5" t="str">
        <f>IF(L182="","",VLOOKUP($L182,classifications!$C:$J,8,FALSE))</f>
        <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f>HLOOKUP($AX$9&amp;$AX$10,Data!$A$1:$ZZ$1980,(MATCH($C182,Data!$A$1:$A$1980,0)),FALSE)</f>
        <v>482.7</v>
      </c>
    </row>
    <row r="183" spans="1:50">
      <c r="A183" s="59" t="str">
        <f>$D$1&amp;173</f>
        <v>UA173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
      </c>
      <c r="I183" s="79" t="str">
        <f>IF(H183="","",IF($I$8="A",(RANK(H183,H$11:H$343,1)+COUNTIF(H$11:H183,H183)-1),(RANK(H183,H$11:H$343)+COUNTIF(H$11:H183,H183)-1)))</f>
        <v/>
      </c>
      <c r="J183" s="41"/>
      <c r="K183" s="36" t="str">
        <f t="shared" si="85"/>
        <v/>
      </c>
      <c r="L183" t="str">
        <f t="shared" si="86"/>
        <v/>
      </c>
      <c r="M183" s="117" t="str">
        <f t="shared" si="87"/>
        <v/>
      </c>
      <c r="N183" s="112" t="str">
        <f t="shared" si="88"/>
        <v/>
      </c>
      <c r="O183" s="96" t="str">
        <f t="shared" si="89"/>
        <v/>
      </c>
      <c r="P183" s="96" t="str">
        <f t="shared" si="90"/>
        <v/>
      </c>
      <c r="Q183" s="96" t="str">
        <f t="shared" si="91"/>
        <v/>
      </c>
      <c r="R183" s="92" t="str">
        <f t="shared" si="92"/>
        <v/>
      </c>
      <c r="S183" s="42" t="str">
        <f t="shared" si="93"/>
        <v/>
      </c>
      <c r="T183" s="167" t="str">
        <f>IF(L183="","",VLOOKUP(L183,classifications!C:K,9,FALSE))</f>
        <v/>
      </c>
      <c r="U183" s="168" t="str">
        <f t="shared" si="94"/>
        <v/>
      </c>
      <c r="V183" s="174" t="str">
        <f>IF(U183="","",IF($I$8="A",(RANK(U183,U$11:U$343)+COUNTIF(U$11:U183,U183)-1),(RANK(U183,U$11:U$343,1)+COUNTIF(U$11:U183,U183)-1)))</f>
        <v/>
      </c>
      <c r="W183" s="175"/>
      <c r="X183" s="5" t="str">
        <f>IF(L183="","",VLOOKUP($L183,classifications!$C:$J,6,FALSE))</f>
        <v/>
      </c>
      <c r="Y183" t="str">
        <f t="shared" si="95"/>
        <v/>
      </c>
      <c r="Z183" s="40" t="str">
        <f>IF(Y183="","",IF(I$8="A",(RANK(Y183,Y$11:Y$343,1)+COUNTIF(Y$11:Y183,Y183)-1),(RANK(Y183,Y$11:Y$343)+COUNTIF(Y$11:Y183,Y183)-1)))</f>
        <v/>
      </c>
      <c r="AA183" s="180" t="str">
        <f>IF(L183="","",VLOOKUP($L183,classifications!C:I,7,FALSE))</f>
        <v/>
      </c>
      <c r="AB183" s="174" t="str">
        <f t="shared" si="96"/>
        <v/>
      </c>
      <c r="AC183" s="174" t="str">
        <f>IF(AB183="","",IF($I$8="A",(RANK(AB183,AB$11:AB$343)+COUNTIF(AB$11:AB183,AB183)-1),(RANK(AB183,AB$11:AB$343,1)+COUNTIF(AB$11:AB183,AB183)-1)))</f>
        <v/>
      </c>
      <c r="AD183" s="174"/>
      <c r="AE183" s="36" t="str">
        <f t="shared" si="97"/>
        <v/>
      </c>
      <c r="AG183" s="15"/>
      <c r="AH183" s="3"/>
      <c r="AI183" s="5" t="str">
        <f>IF(L183="","",VLOOKUP($L183,classifications!$C:$J,8,FALSE))</f>
        <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t="str">
        <f>HLOOKUP($AX$9&amp;$AX$10,Data!$A$1:$ZZ$1980,(MATCH($C183,Data!$A$1:$A$1980,0)),FALSE)</f>
        <v>..</v>
      </c>
    </row>
    <row r="184" spans="1:50">
      <c r="A184" s="59" t="str">
        <f>$D$1&amp;174</f>
        <v>UA174</v>
      </c>
      <c r="B184" s="60">
        <f>IF(ISERROR(VLOOKUP(A187,classifications!A:C,3,FALSE)),0,VLOOKUP(A187,classifications!A:C,3,FALSE))</f>
        <v>0</v>
      </c>
      <c r="C184" t="s">
        <v>215</v>
      </c>
      <c r="D184" t="str">
        <f>VLOOKUP($C184,classifications!$C:$J,4,FALSE)</f>
        <v>L</v>
      </c>
      <c r="E184">
        <f>VLOOKUP(C184,classifications!C:K,9,FALSE)</f>
        <v>0</v>
      </c>
      <c r="F184">
        <f t="shared" si="83"/>
        <v>447.4</v>
      </c>
      <c r="G184" s="15"/>
      <c r="H184" s="42" t="str">
        <f t="shared" si="84"/>
        <v/>
      </c>
      <c r="I184" s="79" t="str">
        <f>IF(H184="","",IF($I$8="A",(RANK(H184,H$11:H$343,1)+COUNTIF(H$11:H184,H184)-1),(RANK(H184,H$11:H$343)+COUNTIF(H$11:H184,H184)-1)))</f>
        <v/>
      </c>
      <c r="J184" s="41"/>
      <c r="K184" s="36" t="str">
        <f t="shared" si="85"/>
        <v/>
      </c>
      <c r="L184" t="str">
        <f t="shared" si="86"/>
        <v/>
      </c>
      <c r="M184" s="117" t="str">
        <f t="shared" si="87"/>
        <v/>
      </c>
      <c r="N184" s="112" t="str">
        <f t="shared" si="88"/>
        <v/>
      </c>
      <c r="O184" s="96" t="str">
        <f t="shared" si="89"/>
        <v/>
      </c>
      <c r="P184" s="96" t="str">
        <f t="shared" si="90"/>
        <v/>
      </c>
      <c r="Q184" s="96" t="str">
        <f t="shared" si="91"/>
        <v/>
      </c>
      <c r="R184" s="92" t="str">
        <f t="shared" si="92"/>
        <v/>
      </c>
      <c r="S184" s="42" t="str">
        <f t="shared" si="93"/>
        <v/>
      </c>
      <c r="T184" s="167" t="str">
        <f>IF(L184="","",VLOOKUP(L184,classifications!C:K,9,FALSE))</f>
        <v/>
      </c>
      <c r="U184" s="168" t="str">
        <f t="shared" si="94"/>
        <v/>
      </c>
      <c r="V184" s="174" t="str">
        <f>IF(U184="","",IF($I$8="A",(RANK(U184,U$11:U$343)+COUNTIF(U$11:U184,U184)-1),(RANK(U184,U$11:U$343,1)+COUNTIF(U$11:U184,U184)-1)))</f>
        <v/>
      </c>
      <c r="W184" s="175"/>
      <c r="X184" s="5" t="str">
        <f>IF(L184="","",VLOOKUP($L184,classifications!$C:$J,6,FALSE))</f>
        <v/>
      </c>
      <c r="Y184" t="str">
        <f t="shared" si="95"/>
        <v/>
      </c>
      <c r="Z184" s="40" t="str">
        <f>IF(Y184="","",IF(I$8="A",(RANK(Y184,Y$11:Y$343,1)+COUNTIF(Y$11:Y184,Y184)-1),(RANK(Y184,Y$11:Y$343)+COUNTIF(Y$11:Y184,Y184)-1)))</f>
        <v/>
      </c>
      <c r="AA184" s="180" t="str">
        <f>IF(L184="","",VLOOKUP($L184,classifications!C:I,7,FALSE))</f>
        <v/>
      </c>
      <c r="AB184" s="174" t="str">
        <f t="shared" si="96"/>
        <v/>
      </c>
      <c r="AC184" s="174" t="str">
        <f>IF(AB184="","",IF($I$8="A",(RANK(AB184,AB$11:AB$343)+COUNTIF(AB$11:AB184,AB184)-1),(RANK(AB184,AB$11:AB$343,1)+COUNTIF(AB$11:AB184,AB184)-1)))</f>
        <v/>
      </c>
      <c r="AD184" s="174"/>
      <c r="AE184" s="36" t="str">
        <f t="shared" si="97"/>
        <v/>
      </c>
      <c r="AG184" s="15"/>
      <c r="AH184" s="3"/>
      <c r="AI184" s="5" t="str">
        <f>IF(L184="","",VLOOKUP($L184,classifications!$C:$J,8,FALSE))</f>
        <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447.4</v>
      </c>
    </row>
    <row r="185" spans="1:50">
      <c r="A185" s="59" t="str">
        <f>$D$1&amp;175</f>
        <v>UA175</v>
      </c>
      <c r="B185" s="60">
        <f>IF(ISERROR(VLOOKUP(A188,classifications!A:C,3,FALSE)),0,VLOOKUP(A188,classifications!A:C,3,FALSE))</f>
        <v>0</v>
      </c>
      <c r="C185" t="s">
        <v>102</v>
      </c>
      <c r="D185" t="str">
        <f>VLOOKUP($C185,classifications!$C:$J,4,FALSE)</f>
        <v>SD</v>
      </c>
      <c r="E185" t="str">
        <f>VLOOKUP(C185,classifications!C:K,9,FALSE)</f>
        <v>Sparse</v>
      </c>
      <c r="F185">
        <f t="shared" si="83"/>
        <v>324.8</v>
      </c>
      <c r="G185" s="15"/>
      <c r="H185" s="42" t="str">
        <f t="shared" si="84"/>
        <v/>
      </c>
      <c r="I185" s="79" t="str">
        <f>IF(H185="","",IF($I$8="A",(RANK(H185,H$11:H$343,1)+COUNTIF(H$11:H185,H185)-1),(RANK(H185,H$11:H$343)+COUNTIF(H$11:H185,H185)-1)))</f>
        <v/>
      </c>
      <c r="J185" s="41"/>
      <c r="K185" s="36" t="str">
        <f t="shared" si="85"/>
        <v/>
      </c>
      <c r="L185" t="str">
        <f t="shared" si="86"/>
        <v/>
      </c>
      <c r="M185" s="117" t="str">
        <f t="shared" si="87"/>
        <v/>
      </c>
      <c r="N185" s="112" t="str">
        <f t="shared" si="88"/>
        <v/>
      </c>
      <c r="O185" s="96" t="str">
        <f t="shared" si="89"/>
        <v/>
      </c>
      <c r="P185" s="96" t="str">
        <f t="shared" si="90"/>
        <v/>
      </c>
      <c r="Q185" s="96" t="str">
        <f t="shared" si="91"/>
        <v/>
      </c>
      <c r="R185" s="92" t="str">
        <f t="shared" si="92"/>
        <v/>
      </c>
      <c r="S185" s="42" t="str">
        <f t="shared" si="93"/>
        <v/>
      </c>
      <c r="T185" s="167" t="str">
        <f>IF(L185="","",VLOOKUP(L185,classifications!C:K,9,FALSE))</f>
        <v/>
      </c>
      <c r="U185" s="168" t="str">
        <f t="shared" si="94"/>
        <v/>
      </c>
      <c r="V185" s="174" t="str">
        <f>IF(U185="","",IF($I$8="A",(RANK(U185,U$11:U$343)+COUNTIF(U$11:U185,U185)-1),(RANK(U185,U$11:U$343,1)+COUNTIF(U$11:U185,U185)-1)))</f>
        <v/>
      </c>
      <c r="W185" s="175"/>
      <c r="X185" s="5" t="str">
        <f>IF(L185="","",VLOOKUP($L185,classifications!$C:$J,6,FALSE))</f>
        <v/>
      </c>
      <c r="Y185" t="str">
        <f t="shared" si="95"/>
        <v/>
      </c>
      <c r="Z185" s="40" t="str">
        <f>IF(Y185="","",IF(I$8="A",(RANK(Y185,Y$11:Y$343,1)+COUNTIF(Y$11:Y185,Y185)-1),(RANK(Y185,Y$11:Y$343)+COUNTIF(Y$11:Y185,Y185)-1)))</f>
        <v/>
      </c>
      <c r="AA185" s="180" t="str">
        <f>IF(L185="","",VLOOKUP($L185,classifications!C:I,7,FALSE))</f>
        <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
      </c>
      <c r="AJ185" s="43" t="str">
        <f t="shared" si="98"/>
        <v/>
      </c>
      <c r="AK185" s="40" t="str">
        <f>IF(AJ185="","",IF(I$8="A",(RANK(AJ185,AJ$11:AJ$343,1)+COUNTIF(AJ$11:AJ185,AJ185)-1),(RANK(AJ185,AJ$11:AJ$343)+COUNTIF(AJ$11:AJ185,AJ185)-1)))</f>
        <v/>
      </c>
      <c r="AL185" s="3" t="str">
        <f t="shared" si="99"/>
        <v/>
      </c>
      <c r="AM185" t="str">
        <f t="shared" si="100"/>
        <v/>
      </c>
      <c r="AN185" t="str">
        <f t="shared" si="101"/>
        <v/>
      </c>
      <c r="AP185" s="5" t="str">
        <f>IF(L185="","",VLOOKUP($L185,classifications!$C:$E,3,FALSE))</f>
        <v/>
      </c>
      <c r="AQ185" s="43" t="str">
        <f t="shared" si="102"/>
        <v/>
      </c>
      <c r="AR185" s="40" t="str">
        <f>IF(AQ185="","",IF(I$8="A",(RANK(AQ185,AQ$11:AQ$343,1)+COUNTIF(AQ$11:AQ185,AQ185)-1),(RANK(AQ185,AQ$11:AQ$343)+COUNTIF(AQ$11:AQ185,AQ185)-1)))</f>
        <v/>
      </c>
      <c r="AS185" s="3" t="str">
        <f t="shared" si="103"/>
        <v/>
      </c>
      <c r="AT185" s="40" t="str">
        <f t="shared" si="104"/>
        <v/>
      </c>
      <c r="AU185" s="43" t="str">
        <f t="shared" si="105"/>
        <v/>
      </c>
      <c r="AX185">
        <f>HLOOKUP($AX$9&amp;$AX$10,Data!$A$1:$ZZ$1980,(MATCH($C185,Data!$A$1:$A$1980,0)),FALSE)</f>
        <v>324.8</v>
      </c>
    </row>
    <row r="186" spans="1:50">
      <c r="A186" s="59" t="str">
        <f>$D$1&amp;176</f>
        <v>UA176</v>
      </c>
      <c r="B186" s="60">
        <f>IF(ISERROR(VLOOKUP(A189,classifications!A:C,3,FALSE)),0,VLOOKUP(A189,classifications!A:C,3,FALSE))</f>
        <v>0</v>
      </c>
      <c r="C186" t="s">
        <v>911</v>
      </c>
      <c r="D186" t="str">
        <f>VLOOKUP($C186,classifications!$C:$J,4,FALSE)</f>
        <v>SD</v>
      </c>
      <c r="E186" t="str">
        <f>VLOOKUP(C186,classifications!C:K,9,FALSE)</f>
        <v>Sparse</v>
      </c>
      <c r="F186">
        <f t="shared" si="83"/>
        <v>464.3</v>
      </c>
      <c r="G186" s="15"/>
      <c r="H186" s="42" t="str">
        <f t="shared" si="84"/>
        <v/>
      </c>
      <c r="I186" s="79" t="str">
        <f>IF(H186="","",IF($I$8="A",(RANK(H186,H$11:H$343,1)+COUNTIF(H$11:H186,H186)-1),(RANK(H186,H$11:H$343)+COUNTIF(H$11:H186,H186)-1)))</f>
        <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f>HLOOKUP($AX$9&amp;$AX$10,Data!$A$1:$ZZ$1980,(MATCH($C186,Data!$A$1:$A$1980,0)),FALSE)</f>
        <v>464.3</v>
      </c>
    </row>
    <row r="187" spans="1:50">
      <c r="A187" s="59" t="str">
        <f>$D$1&amp;177</f>
        <v>UA177</v>
      </c>
      <c r="B187" s="60">
        <f>IF(ISERROR(VLOOKUP(A190,classifications!A:C,3,FALSE)),0,VLOOKUP(A190,classifications!A:C,3,FALSE))</f>
        <v>0</v>
      </c>
      <c r="C187" t="s">
        <v>104</v>
      </c>
      <c r="D187" t="str">
        <f>VLOOKUP($C187,classifications!$C:$J,4,FALSE)</f>
        <v>SD</v>
      </c>
      <c r="E187">
        <f>VLOOKUP(C187,classifications!C:K,9,FALSE)</f>
        <v>0</v>
      </c>
      <c r="F187">
        <f t="shared" si="83"/>
        <v>420.1</v>
      </c>
      <c r="G187" s="15"/>
      <c r="H187" s="42" t="str">
        <f t="shared" si="84"/>
        <v/>
      </c>
      <c r="I187" s="79" t="str">
        <f>IF(H187="","",IF($I$8="A",(RANK(H187,H$11:H$343,1)+COUNTIF(H$11:H187,H187)-1),(RANK(H187,H$11:H$343)+COUNTIF(H$11:H187,H187)-1)))</f>
        <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f>HLOOKUP($AX$9&amp;$AX$10,Data!$A$1:$ZZ$1980,(MATCH($C187,Data!$A$1:$A$1980,0)),FALSE)</f>
        <v>420.1</v>
      </c>
    </row>
    <row r="188" spans="1:50">
      <c r="A188" s="59" t="str">
        <f>$D$1&amp;178</f>
        <v>UA178</v>
      </c>
      <c r="B188" s="60">
        <f>IF(ISERROR(VLOOKUP(A191,classifications!A:C,3,FALSE)),0,VLOOKUP(A191,classifications!A:C,3,FALSE))</f>
        <v>0</v>
      </c>
      <c r="C188" t="s">
        <v>275</v>
      </c>
      <c r="D188" t="str">
        <f>VLOOKUP($C188,classifications!$C:$J,4,FALSE)</f>
        <v>UA</v>
      </c>
      <c r="E188">
        <f>VLOOKUP(C188,classifications!C:K,9,FALSE)</f>
        <v>0</v>
      </c>
      <c r="F188">
        <f t="shared" si="83"/>
        <v>759.1</v>
      </c>
      <c r="G188" s="15"/>
      <c r="H188" s="42">
        <f t="shared" si="84"/>
        <v>759.1</v>
      </c>
      <c r="I188" s="79">
        <f>IF(H188="","",IF($I$8="A",(RANK(H188,H$11:H$343,1)+COUNTIF(H$11:H188,H188)-1),(RANK(H188,H$11:H$343)+COUNTIF(H$11:H188,H188)-1)))</f>
        <v>58</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759.1</v>
      </c>
    </row>
    <row r="189" spans="1:50">
      <c r="A189" s="59" t="str">
        <f>$D$1&amp;179</f>
        <v>UA179</v>
      </c>
      <c r="B189" s="60">
        <f>IF(ISERROR(VLOOKUP(A192,classifications!A:C,3,FALSE)),0,VLOOKUP(A192,classifications!A:C,3,FALSE))</f>
        <v>0</v>
      </c>
      <c r="C189" t="s">
        <v>276</v>
      </c>
      <c r="D189" t="str">
        <f>VLOOKUP($C189,classifications!$C:$J,4,FALSE)</f>
        <v>UA</v>
      </c>
      <c r="E189">
        <f>VLOOKUP(C189,classifications!C:K,9,FALSE)</f>
        <v>0</v>
      </c>
      <c r="F189">
        <f t="shared" si="83"/>
        <v>492.9</v>
      </c>
      <c r="G189" s="15"/>
      <c r="H189" s="42">
        <f t="shared" si="84"/>
        <v>492.9</v>
      </c>
      <c r="I189" s="79">
        <f>IF(H189="","",IF($I$8="A",(RANK(H189,H$11:H$343,1)+COUNTIF(H$11:H189,H189)-1),(RANK(H189,H$11:H$343)+COUNTIF(H$11:H189,H189)-1)))</f>
        <v>20</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492.9</v>
      </c>
    </row>
    <row r="190" spans="1:50">
      <c r="A190" s="59" t="str">
        <f>$D$1&amp;180</f>
        <v>UA180</v>
      </c>
      <c r="B190" s="60">
        <f>IF(ISERROR(VLOOKUP(A193,classifications!A:C,3,FALSE)),0,VLOOKUP(A193,classifications!A:C,3,FALSE))</f>
        <v>0</v>
      </c>
      <c r="C190" t="s">
        <v>105</v>
      </c>
      <c r="D190" t="str">
        <f>VLOOKUP($C190,classifications!$C:$J,4,FALSE)</f>
        <v>SD</v>
      </c>
      <c r="E190">
        <f>VLOOKUP(C190,classifications!C:K,9,FALSE)</f>
        <v>0</v>
      </c>
      <c r="F190">
        <f t="shared" si="83"/>
        <v>366.6</v>
      </c>
      <c r="G190" s="15"/>
      <c r="H190" s="42" t="str">
        <f t="shared" si="84"/>
        <v/>
      </c>
      <c r="I190" s="79" t="str">
        <f>IF(H190="","",IF($I$8="A",(RANK(H190,H$11:H$343,1)+COUNTIF(H$11:H190,H190)-1),(RANK(H190,H$11:H$343)+COUNTIF(H$11:H190,H190)-1)))</f>
        <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f>HLOOKUP($AX$9&amp;$AX$10,Data!$A$1:$ZZ$1980,(MATCH($C190,Data!$A$1:$A$1980,0)),FALSE)</f>
        <v>366.6</v>
      </c>
    </row>
    <row r="191" spans="1:50">
      <c r="A191" s="59" t="str">
        <f>$D$1&amp;181</f>
        <v>UA181</v>
      </c>
      <c r="B191" s="60">
        <f>IF(ISERROR(VLOOKUP(A194,classifications!A:C,3,FALSE)),0,VLOOKUP(A194,classifications!A:C,3,FALSE))</f>
        <v>0</v>
      </c>
      <c r="C191" t="s">
        <v>106</v>
      </c>
      <c r="D191" t="str">
        <f>VLOOKUP($C191,classifications!$C:$J,4,FALSE)</f>
        <v>SD</v>
      </c>
      <c r="E191" t="str">
        <f>VLOOKUP(C191,classifications!C:K,9,FALSE)</f>
        <v>Sparse</v>
      </c>
      <c r="F191">
        <f t="shared" si="83"/>
        <v>457.4</v>
      </c>
      <c r="G191" s="15"/>
      <c r="H191" s="42" t="str">
        <f t="shared" si="84"/>
        <v/>
      </c>
      <c r="I191" s="79" t="str">
        <f>IF(H191="","",IF($I$8="A",(RANK(H191,H$11:H$343,1)+COUNTIF(H$11:H191,H191)-1),(RANK(H191,H$11:H$343)+COUNTIF(H$11:H191,H191)-1)))</f>
        <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f>HLOOKUP($AX$9&amp;$AX$10,Data!$A$1:$ZZ$1980,(MATCH($C191,Data!$A$1:$A$1980,0)),FALSE)</f>
        <v>457.4</v>
      </c>
    </row>
    <row r="192" spans="1:50">
      <c r="A192" s="59" t="str">
        <f>$D$1&amp;182</f>
        <v>UA182</v>
      </c>
      <c r="B192" s="60">
        <f>IF(ISERROR(VLOOKUP(A195,classifications!A:C,3,FALSE)),0,VLOOKUP(A195,classifications!A:C,3,FALSE))</f>
        <v>0</v>
      </c>
      <c r="C192" t="s">
        <v>347</v>
      </c>
      <c r="D192" t="str">
        <f>VLOOKUP($C192,classifications!$C:$J,4,FALSE)</f>
        <v>SD</v>
      </c>
      <c r="E192">
        <f>VLOOKUP(C192,classifications!C:K,9,FALSE)</f>
        <v>0</v>
      </c>
      <c r="F192">
        <f t="shared" si="83"/>
        <v>514.9</v>
      </c>
      <c r="G192" s="15"/>
      <c r="H192" s="42" t="str">
        <f t="shared" si="84"/>
        <v/>
      </c>
      <c r="I192" s="79" t="str">
        <f>IF(H192="","",IF($I$8="A",(RANK(H192,H$11:H$343,1)+COUNTIF(H$11:H192,H192)-1),(RANK(H192,H$11:H$343)+COUNTIF(H$11:H192,H192)-1)))</f>
        <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f>HLOOKUP($AX$9&amp;$AX$10,Data!$A$1:$ZZ$1980,(MATCH($C192,Data!$A$1:$A$1980,0)),FALSE)</f>
        <v>514.9</v>
      </c>
    </row>
    <row r="193" spans="1:50">
      <c r="A193" s="59" t="str">
        <f>$D$1&amp;183</f>
        <v>UA183</v>
      </c>
      <c r="B193" s="60">
        <f>IF(ISERROR(VLOOKUP(A196,classifications!A:C,3,FALSE)),0,VLOOKUP(A196,classifications!A:C,3,FALSE))</f>
        <v>0</v>
      </c>
      <c r="C193" t="s">
        <v>238</v>
      </c>
      <c r="D193" t="str">
        <f>VLOOKUP($C193,classifications!$C:$J,4,FALSE)</f>
        <v>MD</v>
      </c>
      <c r="E193">
        <f>VLOOKUP(C193,classifications!C:K,9,FALSE)</f>
        <v>0</v>
      </c>
      <c r="F193">
        <f t="shared" si="83"/>
        <v>567.5</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567.5</v>
      </c>
    </row>
    <row r="194" spans="1:50">
      <c r="A194" s="59" t="str">
        <f>$D$1&amp;184</f>
        <v>UA184</v>
      </c>
      <c r="B194" s="60">
        <f>IF(ISERROR(VLOOKUP(A197,classifications!A:C,3,FALSE)),0,VLOOKUP(A197,classifications!A:C,3,FALSE))</f>
        <v>0</v>
      </c>
      <c r="C194" t="s">
        <v>107</v>
      </c>
      <c r="D194" t="str">
        <f>VLOOKUP($C194,classifications!$C:$J,4,FALSE)</f>
        <v>SD</v>
      </c>
      <c r="E194">
        <f>VLOOKUP(C194,classifications!C:K,9,FALSE)</f>
        <v>0</v>
      </c>
      <c r="F194">
        <f t="shared" si="83"/>
        <v>417.1</v>
      </c>
      <c r="G194" s="15"/>
      <c r="H194" s="42" t="str">
        <f t="shared" si="84"/>
        <v/>
      </c>
      <c r="I194" s="79" t="str">
        <f>IF(H194="","",IF($I$8="A",(RANK(H194,H$11:H$343,1)+COUNTIF(H$11:H194,H194)-1),(RANK(H194,H$11:H$343)+COUNTIF(H$11:H194,H194)-1)))</f>
        <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f>HLOOKUP($AX$9&amp;$AX$10,Data!$A$1:$ZZ$1980,(MATCH($C194,Data!$A$1:$A$1980,0)),FALSE)</f>
        <v>417.1</v>
      </c>
    </row>
    <row r="195" spans="1:50">
      <c r="A195" s="59" t="str">
        <f>$D$1&amp;185</f>
        <v>UA185</v>
      </c>
      <c r="B195" s="60">
        <f>IF(ISERROR(VLOOKUP(A198,classifications!A:C,3,FALSE)),0,VLOOKUP(A198,classifications!A:C,3,FALSE))</f>
        <v>0</v>
      </c>
      <c r="C195" t="s">
        <v>216</v>
      </c>
      <c r="D195" t="str">
        <f>VLOOKUP($C195,classifications!$C:$J,4,FALSE)</f>
        <v>L</v>
      </c>
      <c r="E195">
        <f>VLOOKUP(C195,classifications!C:K,9,FALSE)</f>
        <v>0</v>
      </c>
      <c r="F195">
        <f t="shared" si="83"/>
        <v>694.8</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f>HLOOKUP($AX$9&amp;$AX$10,Data!$A$1:$ZZ$1980,(MATCH($C195,Data!$A$1:$A$1980,0)),FALSE)</f>
        <v>694.8</v>
      </c>
    </row>
    <row r="196" spans="1:50">
      <c r="A196" s="59" t="str">
        <f>$D$1&amp;186</f>
        <v>UA186</v>
      </c>
      <c r="B196" s="60">
        <f>IF(ISERROR(VLOOKUP(A199,classifications!A:C,3,FALSE)),0,VLOOKUP(A199,classifications!A:C,3,FALSE))</f>
        <v>0</v>
      </c>
      <c r="C196" t="s">
        <v>320</v>
      </c>
      <c r="D196" t="str">
        <f>VLOOKUP($C196,classifications!$C:$J,4,FALSE)</f>
        <v>SC</v>
      </c>
      <c r="E196" t="str">
        <f>VLOOKUP(C196,classifications!C:K,9,FALSE)</f>
        <v>Sparse</v>
      </c>
      <c r="F196">
        <f t="shared" si="83"/>
        <v>504.8</v>
      </c>
      <c r="G196" s="15"/>
      <c r="H196" s="42" t="str">
        <f t="shared" si="84"/>
        <v/>
      </c>
      <c r="I196" s="79" t="str">
        <f>IF(H196="","",IF($I$8="A",(RANK(H196,H$11:H$343,1)+COUNTIF(H$11:H196,H196)-1),(RANK(H196,H$11:H$343)+COUNTIF(H$11:H196,H196)-1)))</f>
        <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504.8</v>
      </c>
    </row>
    <row r="197" spans="1:50">
      <c r="A197" s="59" t="str">
        <f>$D$1&amp;187</f>
        <v>UA187</v>
      </c>
      <c r="B197" s="60">
        <f>IF(ISERROR(VLOOKUP(A200,classifications!A:C,3,FALSE)),0,VLOOKUP(A200,classifications!A:C,3,FALSE))</f>
        <v>0</v>
      </c>
      <c r="C197" t="s">
        <v>108</v>
      </c>
      <c r="D197" t="str">
        <f>VLOOKUP($C197,classifications!$C:$J,4,FALSE)</f>
        <v>SD</v>
      </c>
      <c r="E197" t="str">
        <f>VLOOKUP(C197,classifications!C:K,9,FALSE)</f>
        <v>Sparse</v>
      </c>
      <c r="F197">
        <f t="shared" si="83"/>
        <v>414.5</v>
      </c>
      <c r="G197" s="15"/>
      <c r="H197" s="42" t="str">
        <f t="shared" si="84"/>
        <v/>
      </c>
      <c r="I197" s="79" t="str">
        <f>IF(H197="","",IF($I$8="A",(RANK(H197,H$11:H$343,1)+COUNTIF(H$11:H197,H197)-1),(RANK(H197,H$11:H$343)+COUNTIF(H$11:H197,H197)-1)))</f>
        <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f>HLOOKUP($AX$9&amp;$AX$10,Data!$A$1:$ZZ$1980,(MATCH($C197,Data!$A$1:$A$1980,0)),FALSE)</f>
        <v>414.5</v>
      </c>
    </row>
    <row r="198" spans="1:50">
      <c r="A198" s="59" t="str">
        <f>$D$1&amp;188</f>
        <v>UA188</v>
      </c>
      <c r="B198" s="60">
        <f>IF(ISERROR(VLOOKUP(A201,classifications!A:C,3,FALSE)),0,VLOOKUP(A201,classifications!A:C,3,FALSE))</f>
        <v>0</v>
      </c>
      <c r="C198" t="s">
        <v>110</v>
      </c>
      <c r="D198" t="str">
        <f>VLOOKUP($C198,classifications!$C:$J,4,FALSE)</f>
        <v>SD</v>
      </c>
      <c r="E198">
        <f>VLOOKUP(C198,classifications!C:K,9,FALSE)</f>
        <v>0</v>
      </c>
      <c r="F198">
        <f t="shared" si="83"/>
        <v>450.2</v>
      </c>
      <c r="G198" s="15"/>
      <c r="H198" s="42" t="str">
        <f t="shared" si="84"/>
        <v/>
      </c>
      <c r="I198" s="79" t="str">
        <f>IF(H198="","",IF($I$8="A",(RANK(H198,H$11:H$343,1)+COUNTIF(H$11:H198,H198)-1),(RANK(H198,H$11:H$343)+COUNTIF(H$11:H198,H198)-1)))</f>
        <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f>HLOOKUP($AX$9&amp;$AX$10,Data!$A$1:$ZZ$1980,(MATCH($C198,Data!$A$1:$A$1980,0)),FALSE)</f>
        <v>450.2</v>
      </c>
    </row>
    <row r="199" spans="1:50">
      <c r="A199" s="59" t="str">
        <f>$D$1&amp;189</f>
        <v>UA189</v>
      </c>
      <c r="B199" s="60">
        <f>IF(ISERROR(VLOOKUP(A202,classifications!A:C,3,FALSE)),0,VLOOKUP(A202,classifications!A:C,3,FALSE))</f>
        <v>0</v>
      </c>
      <c r="C199" t="s">
        <v>277</v>
      </c>
      <c r="D199" t="str">
        <f>VLOOKUP($C199,classifications!$C:$J,4,FALSE)</f>
        <v>UA</v>
      </c>
      <c r="E199">
        <f>VLOOKUP(C199,classifications!C:K,9,FALSE)</f>
        <v>0</v>
      </c>
      <c r="F199">
        <f t="shared" si="83"/>
        <v>562.20000000000005</v>
      </c>
      <c r="G199" s="15"/>
      <c r="H199" s="42">
        <f t="shared" si="84"/>
        <v>562.20000000000005</v>
      </c>
      <c r="I199" s="79">
        <f>IF(H199="","",IF($I$8="A",(RANK(H199,H$11:H$343,1)+COUNTIF(H$11:H199,H199)-1),(RANK(H199,H$11:H$343)+COUNTIF(H$11:H199,H199)-1)))</f>
        <v>40</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562.20000000000005</v>
      </c>
    </row>
    <row r="200" spans="1:50">
      <c r="A200" s="59" t="str">
        <f>$D$1&amp;190</f>
        <v>UA190</v>
      </c>
      <c r="B200" s="60">
        <f>IF(ISERROR(VLOOKUP(A203,classifications!A:C,3,FALSE)),0,VLOOKUP(A203,classifications!A:C,3,FALSE))</f>
        <v>0</v>
      </c>
      <c r="C200" t="s">
        <v>111</v>
      </c>
      <c r="D200" t="str">
        <f>VLOOKUP($C200,classifications!$C:$J,4,FALSE)</f>
        <v>SD</v>
      </c>
      <c r="E200">
        <f>VLOOKUP(C200,classifications!C:K,9,FALSE)</f>
        <v>0</v>
      </c>
      <c r="F200">
        <f t="shared" si="83"/>
        <v>342.4</v>
      </c>
      <c r="G200" s="15"/>
      <c r="H200" s="42" t="str">
        <f t="shared" si="84"/>
        <v/>
      </c>
      <c r="I200" s="79" t="str">
        <f>IF(H200="","",IF($I$8="A",(RANK(H200,H$11:H$343,1)+COUNTIF(H$11:H200,H200)-1),(RANK(H200,H$11:H$343)+COUNTIF(H$11:H200,H200)-1)))</f>
        <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f>HLOOKUP($AX$9&amp;$AX$10,Data!$A$1:$ZZ$1980,(MATCH($C200,Data!$A$1:$A$1980,0)),FALSE)</f>
        <v>342.4</v>
      </c>
    </row>
    <row r="201" spans="1:50">
      <c r="A201" s="59" t="str">
        <f>$D$1&amp;191</f>
        <v>UA191</v>
      </c>
      <c r="B201" s="60">
        <f>IF(ISERROR(VLOOKUP(A204,classifications!A:C,3,FALSE)),0,VLOOKUP(A204,classifications!A:C,3,FALSE))</f>
        <v>0</v>
      </c>
      <c r="C201" t="s">
        <v>112</v>
      </c>
      <c r="D201" t="str">
        <f>VLOOKUP($C201,classifications!$C:$J,4,FALSE)</f>
        <v>SD</v>
      </c>
      <c r="E201" t="str">
        <f>VLOOKUP(C201,classifications!C:K,9,FALSE)</f>
        <v>Sparse</v>
      </c>
      <c r="F201">
        <f t="shared" si="83"/>
        <v>485.6</v>
      </c>
      <c r="G201" s="15"/>
      <c r="H201" s="42" t="str">
        <f t="shared" si="84"/>
        <v/>
      </c>
      <c r="I201" s="79" t="str">
        <f>IF(H201="","",IF($I$8="A",(RANK(H201,H$11:H$343,1)+COUNTIF(H$11:H201,H201)-1),(RANK(H201,H$11:H$343)+COUNTIF(H$11:H201,H201)-1)))</f>
        <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f>HLOOKUP($AX$9&amp;$AX$10,Data!$A$1:$ZZ$1980,(MATCH($C201,Data!$A$1:$A$1980,0)),FALSE)</f>
        <v>485.6</v>
      </c>
    </row>
    <row r="202" spans="1:50">
      <c r="A202" s="59" t="str">
        <f>$D$1&amp;192</f>
        <v>UA192</v>
      </c>
      <c r="B202" s="60">
        <f>IF(ISERROR(VLOOKUP(A205,classifications!A:C,3,FALSE)),0,VLOOKUP(A205,classifications!A:C,3,FALSE))</f>
        <v>0</v>
      </c>
      <c r="C202" t="s">
        <v>278</v>
      </c>
      <c r="D202" t="str">
        <f>VLOOKUP($C202,classifications!$C:$J,4,FALSE)</f>
        <v>UA</v>
      </c>
      <c r="E202" t="str">
        <f>VLOOKUP(C202,classifications!C:K,9,FALSE)</f>
        <v>Sparse</v>
      </c>
      <c r="F202">
        <f t="shared" si="83"/>
        <v>514.4</v>
      </c>
      <c r="G202" s="15"/>
      <c r="H202" s="42">
        <f t="shared" si="84"/>
        <v>514.4</v>
      </c>
      <c r="I202" s="79">
        <f>IF(H202="","",IF($I$8="A",(RANK(H202,H$11:H$343,1)+COUNTIF(H$11:H202,H202)-1),(RANK(H202,H$11:H$343)+COUNTIF(H$11:H202,H202)-1)))</f>
        <v>25</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514.4</v>
      </c>
    </row>
    <row r="203" spans="1:50">
      <c r="A203" s="59" t="str">
        <f>$D$1&amp;193</f>
        <v>UA193</v>
      </c>
      <c r="B203" s="60">
        <f>IF(ISERROR(VLOOKUP(A206,classifications!A:C,3,FALSE)),0,VLOOKUP(A206,classifications!A:C,3,FALSE))</f>
        <v>0</v>
      </c>
      <c r="C203" t="s">
        <v>113</v>
      </c>
      <c r="D203" t="str">
        <f>VLOOKUP($C203,classifications!$C:$J,4,FALSE)</f>
        <v>SD</v>
      </c>
      <c r="E203" t="str">
        <f>VLOOKUP(C203,classifications!C:K,9,FALSE)</f>
        <v>Sparse</v>
      </c>
      <c r="F203">
        <f t="shared" si="83"/>
        <v>426.7</v>
      </c>
      <c r="G203" s="15"/>
      <c r="H203" s="42" t="str">
        <f t="shared" si="84"/>
        <v/>
      </c>
      <c r="I203" s="79" t="str">
        <f>IF(H203="","",IF($I$8="A",(RANK(H203,H$11:H$343,1)+COUNTIF(H$11:H203,H203)-1),(RANK(H203,H$11:H$343)+COUNTIF(H$11:H203,H203)-1)))</f>
        <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f>HLOOKUP($AX$9&amp;$AX$10,Data!$A$1:$ZZ$1980,(MATCH($C203,Data!$A$1:$A$1980,0)),FALSE)</f>
        <v>426.7</v>
      </c>
    </row>
    <row r="204" spans="1:50">
      <c r="A204" s="59" t="str">
        <f>$D$1&amp;194</f>
        <v>UA194</v>
      </c>
      <c r="B204" s="60">
        <f>IF(ISERROR(VLOOKUP(A207,classifications!A:C,3,FALSE)),0,VLOOKUP(A207,classifications!A:C,3,FALSE))</f>
        <v>0</v>
      </c>
      <c r="C204" t="s">
        <v>279</v>
      </c>
      <c r="D204" t="str">
        <f>VLOOKUP($C204,classifications!$C:$J,4,FALSE)</f>
        <v>UA</v>
      </c>
      <c r="E204" t="str">
        <f>VLOOKUP(C204,classifications!C:K,9,FALSE)</f>
        <v>Sparse</v>
      </c>
      <c r="F204">
        <f t="shared" si="83"/>
        <v>373.6</v>
      </c>
      <c r="G204" s="15"/>
      <c r="H204" s="42">
        <f t="shared" si="84"/>
        <v>373.6</v>
      </c>
      <c r="I204" s="79">
        <f>IF(H204="","",IF($I$8="A",(RANK(H204,H$11:H$343,1)+COUNTIF(H$11:H204,H204)-1),(RANK(H204,H$11:H$343)+COUNTIF(H$11:H204,H204)-1)))</f>
        <v>3</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373.6</v>
      </c>
    </row>
    <row r="205" spans="1:50">
      <c r="A205" s="59" t="str">
        <f>$D$1&amp;195</f>
        <v>UA195</v>
      </c>
      <c r="B205" s="60">
        <f>IF(ISERROR(VLOOKUP(A208,classifications!A:C,3,FALSE)),0,VLOOKUP(A208,classifications!A:C,3,FALSE))</f>
        <v>0</v>
      </c>
      <c r="C205" t="s">
        <v>239</v>
      </c>
      <c r="D205" t="str">
        <f>VLOOKUP($C205,classifications!$C:$J,4,FALSE)</f>
        <v>MD</v>
      </c>
      <c r="E205">
        <f>VLOOKUP(C205,classifications!C:K,9,FALSE)</f>
        <v>0</v>
      </c>
      <c r="F205">
        <f t="shared" si="83"/>
        <v>557.29999999999995</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557.29999999999995</v>
      </c>
    </row>
    <row r="206" spans="1:50">
      <c r="A206" s="59" t="str">
        <f>$D$1&amp;196</f>
        <v>UA196</v>
      </c>
      <c r="B206" s="60">
        <f>IF(ISERROR(VLOOKUP(A209,classifications!A:C,3,FALSE)),0,VLOOKUP(A209,classifications!A:C,3,FALSE))</f>
        <v>0</v>
      </c>
      <c r="C206" t="s">
        <v>114</v>
      </c>
      <c r="D206" t="str">
        <f>VLOOKUP($C206,classifications!$C:$J,4,FALSE)</f>
        <v>SD</v>
      </c>
      <c r="E206">
        <f>VLOOKUP(C206,classifications!C:K,9,FALSE)</f>
        <v>0</v>
      </c>
      <c r="F206">
        <f t="shared" si="83"/>
        <v>557.5</v>
      </c>
      <c r="G206" s="15"/>
      <c r="H206" s="42" t="str">
        <f t="shared" si="84"/>
        <v/>
      </c>
      <c r="I206" s="79" t="str">
        <f>IF(H206="","",IF($I$8="A",(RANK(H206,H$11:H$343,1)+COUNTIF(H$11:H206,H206)-1),(RANK(H206,H$11:H$343)+COUNTIF(H$11:H206,H206)-1)))</f>
        <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f>HLOOKUP($AX$9&amp;$AX$10,Data!$A$1:$ZZ$1980,(MATCH($C206,Data!$A$1:$A$1980,0)),FALSE)</f>
        <v>557.5</v>
      </c>
    </row>
    <row r="207" spans="1:50">
      <c r="A207" s="59" t="str">
        <f>$D$1&amp;197</f>
        <v>UA197</v>
      </c>
      <c r="B207" s="60">
        <f>IF(ISERROR(VLOOKUP(A210,classifications!A:C,3,FALSE)),0,VLOOKUP(A210,classifications!A:C,3,FALSE))</f>
        <v>0</v>
      </c>
      <c r="C207" t="s">
        <v>115</v>
      </c>
      <c r="D207" t="str">
        <f>VLOOKUP($C207,classifications!$C:$J,4,FALSE)</f>
        <v>SD</v>
      </c>
      <c r="E207">
        <f>VLOOKUP(C207,classifications!C:K,9,FALSE)</f>
        <v>0</v>
      </c>
      <c r="F207">
        <f t="shared" si="83"/>
        <v>465.1</v>
      </c>
      <c r="G207" s="15"/>
      <c r="H207" s="42" t="str">
        <f t="shared" si="84"/>
        <v/>
      </c>
      <c r="I207" s="79" t="str">
        <f>IF(H207="","",IF($I$8="A",(RANK(H207,H$11:H$343,1)+COUNTIF(H$11:H207,H207)-1),(RANK(H207,H$11:H$343)+COUNTIF(H$11:H207,H207)-1)))</f>
        <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f>HLOOKUP($AX$9&amp;$AX$10,Data!$A$1:$ZZ$1980,(MATCH($C207,Data!$A$1:$A$1980,0)),FALSE)</f>
        <v>465.1</v>
      </c>
    </row>
    <row r="208" spans="1:50">
      <c r="A208" s="59" t="str">
        <f>$D$1&amp;198</f>
        <v>UA198</v>
      </c>
      <c r="B208" s="60">
        <f>IF(ISERROR(VLOOKUP(A211,classifications!A:C,3,FALSE)),0,VLOOKUP(A211,classifications!A:C,3,FALSE))</f>
        <v>0</v>
      </c>
      <c r="C208" t="s">
        <v>321</v>
      </c>
      <c r="D208" t="str">
        <f>VLOOKUP($C208,classifications!$C:$J,4,FALSE)</f>
        <v>SC</v>
      </c>
      <c r="E208" t="str">
        <f>VLOOKUP(C208,classifications!C:K,9,FALSE)</f>
        <v>Sparse</v>
      </c>
      <c r="F208">
        <f t="shared" si="83"/>
        <v>525.1</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525.1</v>
      </c>
    </row>
    <row r="209" spans="1:50">
      <c r="A209" s="59" t="str">
        <f>$D$1&amp;199</f>
        <v>UA199</v>
      </c>
      <c r="B209" s="60">
        <f>IF(ISERROR(VLOOKUP(A214,classifications!A:C,3,FALSE)),0,VLOOKUP(A214,classifications!A:C,3,FALSE))</f>
        <v>0</v>
      </c>
      <c r="C209" t="s">
        <v>323</v>
      </c>
      <c r="D209" t="str">
        <f>VLOOKUP($C209,classifications!$C:$J,4,FALSE)</f>
        <v>UA</v>
      </c>
      <c r="E209" t="str">
        <f>VLOOKUP(C209,classifications!C:K,9,FALSE)</f>
        <v>Sparse</v>
      </c>
      <c r="F209">
        <f t="shared" si="83"/>
        <v>602.29999999999995</v>
      </c>
      <c r="G209" s="15"/>
      <c r="H209" s="42">
        <f t="shared" si="84"/>
        <v>602.29999999999995</v>
      </c>
      <c r="I209" s="79">
        <f>IF(H209="","",IF($I$8="A",(RANK(H209,H$11:H$343,1)+COUNTIF(H$11:H209,H209)-1),(RANK(H209,H$11:H$343)+COUNTIF(H$11:H209,H209)-1)))</f>
        <v>52</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602.29999999999995</v>
      </c>
    </row>
    <row r="210" spans="1:50">
      <c r="A210" s="59" t="str">
        <f>$D$1&amp;200</f>
        <v>UA200</v>
      </c>
      <c r="B210" s="60">
        <f>IF(ISERROR(VLOOKUP(A215,classifications!A:C,3,FALSE)),0,VLOOKUP(A215,classifications!A:C,3,FALSE))</f>
        <v>0</v>
      </c>
      <c r="C210" t="s">
        <v>117</v>
      </c>
      <c r="D210" t="str">
        <f>VLOOKUP($C210,classifications!$C:$J,4,FALSE)</f>
        <v>SD</v>
      </c>
      <c r="E210">
        <f>VLOOKUP(C210,classifications!C:K,9,FALSE)</f>
        <v>0</v>
      </c>
      <c r="F210">
        <f t="shared" si="83"/>
        <v>388.5</v>
      </c>
      <c r="G210" s="15"/>
      <c r="H210" s="42" t="str">
        <f t="shared" si="84"/>
        <v/>
      </c>
      <c r="I210" s="79" t="str">
        <f>IF(H210="","",IF($I$8="A",(RANK(H210,H$11:H$343,1)+COUNTIF(H$11:H210,H210)-1),(RANK(H210,H$11:H$343)+COUNTIF(H$11:H210,H210)-1)))</f>
        <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f>HLOOKUP($AX$9&amp;$AX$10,Data!$A$1:$ZZ$1980,(MATCH($C210,Data!$A$1:$A$1980,0)),FALSE)</f>
        <v>388.5</v>
      </c>
    </row>
    <row r="211" spans="1:50">
      <c r="A211" s="59" t="str">
        <f>$D$1&amp;201</f>
        <v>UA201</v>
      </c>
      <c r="B211" s="60">
        <f>IF(ISERROR(VLOOKUP(A216,classifications!A:C,3,FALSE)),0,VLOOKUP(A216,classifications!A:C,3,FALSE))</f>
        <v>0</v>
      </c>
      <c r="C211" t="s">
        <v>280</v>
      </c>
      <c r="D211" t="str">
        <f>VLOOKUP($C211,classifications!$C:$J,4,FALSE)</f>
        <v>UA</v>
      </c>
      <c r="E211">
        <f>VLOOKUP(C211,classifications!C:K,9,FALSE)</f>
        <v>0</v>
      </c>
      <c r="F211">
        <f t="shared" si="83"/>
        <v>577.6</v>
      </c>
      <c r="G211" s="15"/>
      <c r="H211" s="42">
        <f t="shared" si="84"/>
        <v>577.6</v>
      </c>
      <c r="I211" s="79">
        <f>IF(H211="","",IF($I$8="A",(RANK(H211,H$11:H$343,1)+COUNTIF(H$11:H211,H211)-1),(RANK(H211,H$11:H$343)+COUNTIF(H$11:H211,H211)-1)))</f>
        <v>46</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577.6</v>
      </c>
    </row>
    <row r="212" spans="1:50">
      <c r="A212" s="59" t="str">
        <f>$D$1&amp;202</f>
        <v>UA202</v>
      </c>
      <c r="B212" s="60">
        <f>IF(ISERROR(VLOOKUP(A217,classifications!A:C,3,FALSE)),0,VLOOKUP(A217,classifications!A:C,3,FALSE))</f>
        <v>0</v>
      </c>
      <c r="C212" t="s">
        <v>324</v>
      </c>
      <c r="D212" t="str">
        <f>VLOOKUP($C212,classifications!$C:$J,4,FALSE)</f>
        <v>SC</v>
      </c>
      <c r="E212" t="str">
        <f>VLOOKUP(C212,classifications!C:K,9,FALSE)</f>
        <v>Sparse</v>
      </c>
      <c r="F212">
        <f t="shared" si="83"/>
        <v>566.9</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566.9</v>
      </c>
    </row>
    <row r="213" spans="1:50">
      <c r="A213" s="59" t="str">
        <f>$D$1&amp;203</f>
        <v>UA203</v>
      </c>
      <c r="B213" s="60">
        <f>IF(ISERROR(VLOOKUP(A218,classifications!A:C,3,FALSE)),0,VLOOKUP(A218,classifications!A:C,3,FALSE))</f>
        <v>0</v>
      </c>
      <c r="C213" t="s">
        <v>348</v>
      </c>
      <c r="D213" t="str">
        <f>VLOOKUP($C213,classifications!$C:$J,4,FALSE)</f>
        <v>SD</v>
      </c>
      <c r="E213">
        <f>VLOOKUP(C213,classifications!C:K,9,FALSE)</f>
        <v>0</v>
      </c>
      <c r="F213">
        <f t="shared" si="83"/>
        <v>501.7</v>
      </c>
      <c r="G213" s="15"/>
      <c r="H213" s="42" t="str">
        <f t="shared" si="84"/>
        <v/>
      </c>
      <c r="I213" s="79" t="str">
        <f>IF(H213="","",IF($I$8="A",(RANK(H213,H$11:H$343,1)+COUNTIF(H$11:H213,H213)-1),(RANK(H213,H$11:H$343)+COUNTIF(H$11:H213,H213)-1)))</f>
        <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f>HLOOKUP($AX$9&amp;$AX$10,Data!$A$1:$ZZ$1980,(MATCH($C213,Data!$A$1:$A$1980,0)),FALSE)</f>
        <v>501.7</v>
      </c>
    </row>
    <row r="214" spans="1:50">
      <c r="A214" s="59" t="str">
        <f>$D$1&amp;204</f>
        <v>UA204</v>
      </c>
      <c r="B214" s="60">
        <f>IF(ISERROR(VLOOKUP(A219,classifications!A:C,3,FALSE)),0,VLOOKUP(A219,classifications!A:C,3,FALSE))</f>
        <v>0</v>
      </c>
      <c r="C214" t="s">
        <v>349</v>
      </c>
      <c r="D214" t="str">
        <f>VLOOKUP($C214,classifications!$C:$J,4,FALSE)</f>
        <v>SD</v>
      </c>
      <c r="E214">
        <f>VLOOKUP(C214,classifications!C:K,9,FALSE)</f>
        <v>0</v>
      </c>
      <c r="F214">
        <f t="shared" ref="F214:F277" si="106">HLOOKUP($D$6,AX$10:ZX$355,ROW()-9,FALSE)</f>
        <v>428.6</v>
      </c>
      <c r="G214" s="15"/>
      <c r="H214" s="42" t="str">
        <f t="shared" ref="H214:H277" si="107">IF(D214=$D$1,HLOOKUP($D$6,$AX$10:$ZZ$355,ROW()-9,FALSE),"")</f>
        <v/>
      </c>
      <c r="I214" s="79" t="str">
        <f>IF(H214="","",IF($I$8="A",(RANK(H214,H$11:H$343,1)+COUNTIF(H$11:H214,H214)-1),(RANK(H214,H$11:H$343)+COUNTIF(H$11:H214,H214)-1)))</f>
        <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f>HLOOKUP($AX$9&amp;$AX$10,Data!$A$1:$ZZ$1980,(MATCH($C214,Data!$A$1:$A$1980,0)),FALSE)</f>
        <v>428.6</v>
      </c>
    </row>
    <row r="215" spans="1:50">
      <c r="A215" s="59" t="str">
        <f>$D$1&amp;205</f>
        <v>UA205</v>
      </c>
      <c r="B215" s="60">
        <f>IF(ISERROR(VLOOKUP(A220,classifications!A:C,3,FALSE)),0,VLOOKUP(A220,classifications!A:C,3,FALSE))</f>
        <v>0</v>
      </c>
      <c r="C215" t="s">
        <v>240</v>
      </c>
      <c r="D215" t="str">
        <f>VLOOKUP($C215,classifications!$C:$J,4,FALSE)</f>
        <v>MD</v>
      </c>
      <c r="E215">
        <f>VLOOKUP(C215,classifications!C:K,9,FALSE)</f>
        <v>0</v>
      </c>
      <c r="F215">
        <f t="shared" si="106"/>
        <v>397.3</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f>HLOOKUP($AX$9&amp;$AX$10,Data!$A$1:$ZZ$1980,(MATCH($C215,Data!$A$1:$A$1980,0)),FALSE)</f>
        <v>397.3</v>
      </c>
    </row>
    <row r="216" spans="1:50">
      <c r="A216" s="59" t="str">
        <f>$D$1&amp;206</f>
        <v>UA206</v>
      </c>
      <c r="B216" s="60">
        <f>IF(ISERROR(VLOOKUP(A221,classifications!A:C,3,FALSE)),0,VLOOKUP(A221,classifications!A:C,3,FALSE))</f>
        <v>0</v>
      </c>
      <c r="C216" t="s">
        <v>118</v>
      </c>
      <c r="D216" t="str">
        <f>VLOOKUP($C216,classifications!$C:$J,4,FALSE)</f>
        <v>SD</v>
      </c>
      <c r="E216">
        <f>VLOOKUP(C216,classifications!C:K,9,FALSE)</f>
        <v>0</v>
      </c>
      <c r="F216">
        <f t="shared" si="106"/>
        <v>327</v>
      </c>
      <c r="G216" s="15"/>
      <c r="H216" s="42" t="str">
        <f t="shared" si="107"/>
        <v/>
      </c>
      <c r="I216" s="79" t="str">
        <f>IF(H216="","",IF($I$8="A",(RANK(H216,H$11:H$343,1)+COUNTIF(H$11:H216,H216)-1),(RANK(H216,H$11:H$343)+COUNTIF(H$11:H216,H216)-1)))</f>
        <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f>HLOOKUP($AX$9&amp;$AX$10,Data!$A$1:$ZZ$1980,(MATCH($C216,Data!$A$1:$A$1980,0)),FALSE)</f>
        <v>327</v>
      </c>
    </row>
    <row r="217" spans="1:50">
      <c r="A217" s="59" t="str">
        <f>$D$1&amp;207</f>
        <v>UA207</v>
      </c>
      <c r="B217" s="60">
        <f>IF(ISERROR(VLOOKUP(A222,classifications!A:C,3,FALSE)),0,VLOOKUP(A222,classifications!A:C,3,FALSE))</f>
        <v>0</v>
      </c>
      <c r="C217" t="s">
        <v>325</v>
      </c>
      <c r="D217" t="str">
        <f>VLOOKUP($C217,classifications!$C:$J,4,FALSE)</f>
        <v>SC</v>
      </c>
      <c r="E217">
        <f>VLOOKUP(C217,classifications!C:K,9,FALSE)</f>
        <v>0</v>
      </c>
      <c r="F217">
        <f t="shared" si="106"/>
        <v>378.8</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378.8</v>
      </c>
    </row>
    <row r="218" spans="1:50">
      <c r="A218" s="59" t="str">
        <f>$D$1&amp;208</f>
        <v>UA208</v>
      </c>
      <c r="B218" s="60">
        <f>IF(ISERROR(VLOOKUP(A223,classifications!A:C,3,FALSE)),0,VLOOKUP(A223,classifications!A:C,3,FALSE))</f>
        <v>0</v>
      </c>
      <c r="C218" t="s">
        <v>119</v>
      </c>
      <c r="D218" t="str">
        <f>VLOOKUP($C218,classifications!$C:$J,4,FALSE)</f>
        <v>SD</v>
      </c>
      <c r="E218">
        <f>VLOOKUP(C218,classifications!C:K,9,FALSE)</f>
        <v>0</v>
      </c>
      <c r="F218">
        <f t="shared" si="106"/>
        <v>564.5</v>
      </c>
      <c r="G218" s="15"/>
      <c r="H218" s="42" t="str">
        <f t="shared" si="107"/>
        <v/>
      </c>
      <c r="I218" s="79" t="str">
        <f>IF(H218="","",IF($I$8="A",(RANK(H218,H$11:H$343,1)+COUNTIF(H$11:H218,H218)-1),(RANK(H218,H$11:H$343)+COUNTIF(H$11:H218,H218)-1)))</f>
        <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f>HLOOKUP($AX$9&amp;$AX$10,Data!$A$1:$ZZ$1980,(MATCH($C218,Data!$A$1:$A$1980,0)),FALSE)</f>
        <v>564.5</v>
      </c>
    </row>
    <row r="219" spans="1:50">
      <c r="A219" s="59" t="str">
        <f>$D$1&amp;209</f>
        <v>UA209</v>
      </c>
      <c r="B219" s="60">
        <f>IF(ISERROR(VLOOKUP(A224,classifications!A:C,3,FALSE)),0,VLOOKUP(A224,classifications!A:C,3,FALSE))</f>
        <v>0</v>
      </c>
      <c r="C219" t="s">
        <v>281</v>
      </c>
      <c r="D219" t="str">
        <f>VLOOKUP($C219,classifications!$C:$J,4,FALSE)</f>
        <v>UA</v>
      </c>
      <c r="E219">
        <f>VLOOKUP(C219,classifications!C:K,9,FALSE)</f>
        <v>0</v>
      </c>
      <c r="F219">
        <f t="shared" si="106"/>
        <v>549.70000000000005</v>
      </c>
      <c r="G219" s="15"/>
      <c r="H219" s="42">
        <f t="shared" si="107"/>
        <v>549.70000000000005</v>
      </c>
      <c r="I219" s="79">
        <f>IF(H219="","",IF($I$8="A",(RANK(H219,H$11:H$343,1)+COUNTIF(H$11:H219,H219)-1),(RANK(H219,H$11:H$343)+COUNTIF(H$11:H219,H219)-1)))</f>
        <v>37</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549.70000000000005</v>
      </c>
    </row>
    <row r="220" spans="1:50">
      <c r="A220" s="59" t="str">
        <f>$D$1&amp;210</f>
        <v>UA210</v>
      </c>
      <c r="B220" s="60">
        <f>IF(ISERROR(VLOOKUP(A225,classifications!A:C,3,FALSE)),0,VLOOKUP(A225,classifications!A:C,3,FALSE))</f>
        <v>0</v>
      </c>
      <c r="C220" t="s">
        <v>282</v>
      </c>
      <c r="D220" t="str">
        <f>VLOOKUP($C220,classifications!$C:$J,4,FALSE)</f>
        <v>UA</v>
      </c>
      <c r="E220">
        <f>VLOOKUP(C220,classifications!C:K,9,FALSE)</f>
        <v>0</v>
      </c>
      <c r="F220">
        <f t="shared" si="106"/>
        <v>551.79999999999995</v>
      </c>
      <c r="G220" s="15"/>
      <c r="H220" s="42">
        <f t="shared" si="107"/>
        <v>551.79999999999995</v>
      </c>
      <c r="I220" s="79">
        <f>IF(H220="","",IF($I$8="A",(RANK(H220,H$11:H$343,1)+COUNTIF(H$11:H220,H220)-1),(RANK(H220,H$11:H$343)+COUNTIF(H$11:H220,H220)-1)))</f>
        <v>38</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551.79999999999995</v>
      </c>
    </row>
    <row r="221" spans="1:50">
      <c r="A221" s="59" t="str">
        <f>$D$1&amp;211</f>
        <v>UA211</v>
      </c>
      <c r="B221" s="60">
        <f>IF(ISERROR(VLOOKUP(A226,classifications!A:C,3,FALSE)),0,VLOOKUP(A226,classifications!A:C,3,FALSE))</f>
        <v>0</v>
      </c>
      <c r="C221" t="s">
        <v>284</v>
      </c>
      <c r="D221" t="str">
        <f>VLOOKUP($C221,classifications!$C:$J,4,FALSE)</f>
        <v>UA</v>
      </c>
      <c r="E221">
        <f>VLOOKUP(C221,classifications!C:K,9,FALSE)</f>
        <v>0</v>
      </c>
      <c r="F221">
        <f t="shared" si="106"/>
        <v>536.9</v>
      </c>
      <c r="G221" s="15"/>
      <c r="H221" s="42">
        <f t="shared" si="107"/>
        <v>536.9</v>
      </c>
      <c r="I221" s="79">
        <f>IF(H221="","",IF($I$8="A",(RANK(H221,H$11:H$343,1)+COUNTIF(H$11:H221,H221)-1),(RANK(H221,H$11:H$343)+COUNTIF(H$11:H221,H221)-1)))</f>
        <v>34</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536.9</v>
      </c>
    </row>
    <row r="222" spans="1:50">
      <c r="A222" s="59" t="str">
        <f>$D$1&amp;212</f>
        <v>UA212</v>
      </c>
      <c r="B222" s="60">
        <f>IF(ISERROR(VLOOKUP(A227,classifications!A:C,3,FALSE)),0,VLOOKUP(A227,classifications!A:C,3,FALSE))</f>
        <v>0</v>
      </c>
      <c r="C222" t="s">
        <v>120</v>
      </c>
      <c r="D222" t="str">
        <f>VLOOKUP($C222,classifications!$C:$J,4,FALSE)</f>
        <v>SD</v>
      </c>
      <c r="E222">
        <f>VLOOKUP(C222,classifications!C:K,9,FALSE)</f>
        <v>0</v>
      </c>
      <c r="F222">
        <f t="shared" si="106"/>
        <v>535.79999999999995</v>
      </c>
      <c r="G222" s="15"/>
      <c r="H222" s="42" t="str">
        <f t="shared" si="107"/>
        <v/>
      </c>
      <c r="I222" s="79" t="str">
        <f>IF(H222="","",IF($I$8="A",(RANK(H222,H$11:H$343,1)+COUNTIF(H$11:H222,H222)-1),(RANK(H222,H$11:H$343)+COUNTIF(H$11:H222,H222)-1)))</f>
        <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f>HLOOKUP($AX$9&amp;$AX$10,Data!$A$1:$ZZ$1980,(MATCH($C222,Data!$A$1:$A$1980,0)),FALSE)</f>
        <v>535.79999999999995</v>
      </c>
    </row>
    <row r="223" spans="1:50">
      <c r="A223" s="59" t="str">
        <f>$D$1&amp;213</f>
        <v>UA213</v>
      </c>
      <c r="B223" s="60">
        <f>IF(ISERROR(VLOOKUP(A228,classifications!A:C,3,FALSE)),0,VLOOKUP(A228,classifications!A:C,3,FALSE))</f>
        <v>0</v>
      </c>
      <c r="C223" t="s">
        <v>285</v>
      </c>
      <c r="D223" t="str">
        <f>VLOOKUP($C223,classifications!$C:$J,4,FALSE)</f>
        <v>UA</v>
      </c>
      <c r="E223">
        <f>VLOOKUP(C223,classifications!C:K,9,FALSE)</f>
        <v>0</v>
      </c>
      <c r="F223">
        <f t="shared" si="106"/>
        <v>353</v>
      </c>
      <c r="G223" s="15"/>
      <c r="H223" s="42">
        <f t="shared" si="107"/>
        <v>353</v>
      </c>
      <c r="I223" s="79">
        <f>IF(H223="","",IF($I$8="A",(RANK(H223,H$11:H$343,1)+COUNTIF(H$11:H223,H223)-1),(RANK(H223,H$11:H$343)+COUNTIF(H$11:H223,H223)-1)))</f>
        <v>1</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353</v>
      </c>
    </row>
    <row r="224" spans="1:50">
      <c r="A224" s="59" t="str">
        <f>$D$1&amp;214</f>
        <v>UA214</v>
      </c>
      <c r="B224" s="60">
        <f>IF(ISERROR(VLOOKUP(A229,classifications!A:C,3,FALSE)),0,VLOOKUP(A229,classifications!A:C,3,FALSE))</f>
        <v>0</v>
      </c>
      <c r="C224" t="s">
        <v>217</v>
      </c>
      <c r="D224" t="str">
        <f>VLOOKUP($C224,classifications!$C:$J,4,FALSE)</f>
        <v>L</v>
      </c>
      <c r="E224">
        <f>VLOOKUP(C224,classifications!C:K,9,FALSE)</f>
        <v>0</v>
      </c>
      <c r="F224">
        <f t="shared" si="106"/>
        <v>634.20000000000005</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f>HLOOKUP($AX$9&amp;$AX$10,Data!$A$1:$ZZ$1980,(MATCH($C224,Data!$A$1:$A$1980,0)),FALSE)</f>
        <v>634.20000000000005</v>
      </c>
    </row>
    <row r="225" spans="1:50">
      <c r="A225" s="59" t="str">
        <f>$D$1&amp;215</f>
        <v>UA215</v>
      </c>
      <c r="B225" s="60">
        <f>IF(ISERROR(VLOOKUP(A230,classifications!A:C,3,FALSE)),0,VLOOKUP(A230,classifications!A:C,3,FALSE))</f>
        <v>0</v>
      </c>
      <c r="C225" t="s">
        <v>811</v>
      </c>
      <c r="D225" t="str">
        <f>VLOOKUP($C225,classifications!$C:$J,4,FALSE)</f>
        <v>UA</v>
      </c>
      <c r="E225">
        <f>VLOOKUP(C225,classifications!C:K,9,FALSE)</f>
        <v>0</v>
      </c>
      <c r="F225">
        <f t="shared" si="106"/>
        <v>568.29999999999995</v>
      </c>
      <c r="G225" s="15"/>
      <c r="H225" s="42">
        <f t="shared" si="107"/>
        <v>568.29999999999995</v>
      </c>
      <c r="I225" s="79">
        <f>IF(H225="","",IF($I$8="A",(RANK(H225,H$11:H$343,1)+COUNTIF(H$11:H225,H225)-1),(RANK(H225,H$11:H$343)+COUNTIF(H$11:H225,H225)-1)))</f>
        <v>42</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568.29999999999995</v>
      </c>
    </row>
    <row r="226" spans="1:50">
      <c r="A226" s="59" t="str">
        <f>$D$1&amp;216</f>
        <v>UA216</v>
      </c>
      <c r="B226" s="60">
        <f>IF(ISERROR(VLOOKUP(A231,classifications!A:C,3,FALSE)),0,VLOOKUP(A231,classifications!A:C,3,FALSE))</f>
        <v>0</v>
      </c>
      <c r="C226" t="s">
        <v>122</v>
      </c>
      <c r="D226" t="str">
        <f>VLOOKUP($C226,classifications!$C:$J,4,FALSE)</f>
        <v>SD</v>
      </c>
      <c r="E226">
        <f>VLOOKUP(C226,classifications!C:K,9,FALSE)</f>
        <v>0</v>
      </c>
      <c r="F226">
        <f t="shared" si="106"/>
        <v>521.5</v>
      </c>
      <c r="G226" s="15"/>
      <c r="H226" s="42" t="str">
        <f t="shared" si="107"/>
        <v/>
      </c>
      <c r="I226" s="79" t="str">
        <f>IF(H226="","",IF($I$8="A",(RANK(H226,H$11:H$343,1)+COUNTIF(H$11:H226,H226)-1),(RANK(H226,H$11:H$343)+COUNTIF(H$11:H226,H226)-1)))</f>
        <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f>HLOOKUP($AX$9&amp;$AX$10,Data!$A$1:$ZZ$1980,(MATCH($C226,Data!$A$1:$A$1980,0)),FALSE)</f>
        <v>521.5</v>
      </c>
    </row>
    <row r="227" spans="1:50">
      <c r="A227" s="59" t="str">
        <f>$D$1&amp;217</f>
        <v>UA217</v>
      </c>
      <c r="B227" s="60">
        <f>IF(ISERROR(VLOOKUP(A232,classifications!A:C,3,FALSE)),0,VLOOKUP(A232,classifications!A:C,3,FALSE))</f>
        <v>0</v>
      </c>
      <c r="C227" t="s">
        <v>350</v>
      </c>
      <c r="D227" t="str">
        <f>VLOOKUP($C227,classifications!$C:$J,4,FALSE)</f>
        <v>SD</v>
      </c>
      <c r="E227">
        <f>VLOOKUP(C227,classifications!C:K,9,FALSE)</f>
        <v>0</v>
      </c>
      <c r="F227">
        <f t="shared" si="106"/>
        <v>375.1</v>
      </c>
      <c r="G227" s="15"/>
      <c r="H227" s="42" t="str">
        <f t="shared" si="107"/>
        <v/>
      </c>
      <c r="I227" s="79" t="str">
        <f>IF(H227="","",IF($I$8="A",(RANK(H227,H$11:H$343,1)+COUNTIF(H$11:H227,H227)-1),(RANK(H227,H$11:H$343)+COUNTIF(H$11:H227,H227)-1)))</f>
        <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f>HLOOKUP($AX$9&amp;$AX$10,Data!$A$1:$ZZ$1980,(MATCH($C227,Data!$A$1:$A$1980,0)),FALSE)</f>
        <v>375.1</v>
      </c>
    </row>
    <row r="228" spans="1:50">
      <c r="A228" s="59" t="str">
        <f>$D$1&amp;218</f>
        <v>UA218</v>
      </c>
      <c r="B228" s="60">
        <f>IF(ISERROR(VLOOKUP(A233,classifications!A:C,3,FALSE)),0,VLOOKUP(A233,classifications!A:C,3,FALSE))</f>
        <v>0</v>
      </c>
      <c r="C228" t="s">
        <v>123</v>
      </c>
      <c r="D228" t="str">
        <f>VLOOKUP($C228,classifications!$C:$J,4,FALSE)</f>
        <v>SD</v>
      </c>
      <c r="E228" t="str">
        <f>VLOOKUP(C228,classifications!C:K,9,FALSE)</f>
        <v>Sparse</v>
      </c>
      <c r="F228">
        <f t="shared" si="106"/>
        <v>521.79999999999995</v>
      </c>
      <c r="G228" s="15"/>
      <c r="H228" s="42" t="str">
        <f t="shared" si="107"/>
        <v/>
      </c>
      <c r="I228" s="79" t="str">
        <f>IF(H228="","",IF($I$8="A",(RANK(H228,H$11:H$343,1)+COUNTIF(H$11:H228,H228)-1),(RANK(H228,H$11:H$343)+COUNTIF(H$11:H228,H228)-1)))</f>
        <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f>HLOOKUP($AX$9&amp;$AX$10,Data!$A$1:$ZZ$1980,(MATCH($C228,Data!$A$1:$A$1980,0)),FALSE)</f>
        <v>521.79999999999995</v>
      </c>
    </row>
    <row r="229" spans="1:50">
      <c r="A229" s="59" t="str">
        <f>$D$1&amp;219</f>
        <v>UA219</v>
      </c>
      <c r="B229" s="60">
        <f>IF(ISERROR(VLOOKUP(A234,classifications!A:C,3,FALSE)),0,VLOOKUP(A234,classifications!A:C,3,FALSE))</f>
        <v>0</v>
      </c>
      <c r="C229" t="s">
        <v>395</v>
      </c>
      <c r="D229" t="str">
        <f>VLOOKUP($C229,classifications!$C:$J,4,FALSE)</f>
        <v>L</v>
      </c>
      <c r="E229">
        <f>VLOOKUP(C229,classifications!C:K,9,FALSE)</f>
        <v>0</v>
      </c>
      <c r="F229">
        <f t="shared" si="106"/>
        <v>497.6</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f>HLOOKUP($AX$9&amp;$AX$10,Data!$A$1:$ZZ$1980,(MATCH($C229,Data!$A$1:$A$1980,0)),FALSE)</f>
        <v>497.6</v>
      </c>
    </row>
    <row r="230" spans="1:50">
      <c r="A230" s="59" t="str">
        <f>$D$1&amp;220</f>
        <v>UA220</v>
      </c>
      <c r="B230" s="60">
        <f>IF(ISERROR(VLOOKUP(A235,classifications!A:C,3,FALSE)),0,VLOOKUP(A235,classifications!A:C,3,FALSE))</f>
        <v>0</v>
      </c>
      <c r="C230" t="s">
        <v>124</v>
      </c>
      <c r="D230" t="str">
        <f>VLOOKUP($C230,classifications!$C:$J,4,FALSE)</f>
        <v>SD</v>
      </c>
      <c r="E230" t="str">
        <f>VLOOKUP(C230,classifications!C:K,9,FALSE)</f>
        <v>Sparse</v>
      </c>
      <c r="F230">
        <f t="shared" si="106"/>
        <v>461</v>
      </c>
      <c r="G230" s="15"/>
      <c r="H230" s="42" t="str">
        <f t="shared" si="107"/>
        <v/>
      </c>
      <c r="I230" s="79" t="str">
        <f>IF(H230="","",IF($I$8="A",(RANK(H230,H$11:H$343,1)+COUNTIF(H$11:H230,H230)-1),(RANK(H230,H$11:H$343)+COUNTIF(H$11:H230,H230)-1)))</f>
        <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f>HLOOKUP($AX$9&amp;$AX$10,Data!$A$1:$ZZ$1980,(MATCH($C230,Data!$A$1:$A$1980,0)),FALSE)</f>
        <v>461</v>
      </c>
    </row>
    <row r="231" spans="1:50">
      <c r="A231" s="59" t="str">
        <f>$D$1&amp;221</f>
        <v>UA221</v>
      </c>
      <c r="B231" s="60">
        <f>IF(ISERROR(VLOOKUP(A236,classifications!A:C,3,FALSE)),0,VLOOKUP(A236,classifications!A:C,3,FALSE))</f>
        <v>0</v>
      </c>
      <c r="C231" t="s">
        <v>241</v>
      </c>
      <c r="D231" t="str">
        <f>VLOOKUP($C231,classifications!$C:$J,4,FALSE)</f>
        <v>MD</v>
      </c>
      <c r="E231">
        <f>VLOOKUP(C231,classifications!C:K,9,FALSE)</f>
        <v>0</v>
      </c>
      <c r="F231">
        <f t="shared" si="106"/>
        <v>384.5</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f>HLOOKUP($AX$9&amp;$AX$10,Data!$A$1:$ZZ$1980,(MATCH($C231,Data!$A$1:$A$1980,0)),FALSE)</f>
        <v>384.5</v>
      </c>
    </row>
    <row r="232" spans="1:50">
      <c r="A232" s="59" t="str">
        <f>$D$1&amp;222</f>
        <v>UA222</v>
      </c>
      <c r="B232" s="60">
        <f>IF(ISERROR(VLOOKUP(A237,classifications!A:C,3,FALSE)),0,VLOOKUP(A237,classifications!A:C,3,FALSE))</f>
        <v>0</v>
      </c>
      <c r="C232" t="s">
        <v>125</v>
      </c>
      <c r="D232" t="str">
        <f>VLOOKUP($C232,classifications!$C:$J,4,FALSE)</f>
        <v>SD</v>
      </c>
      <c r="E232">
        <f>VLOOKUP(C232,classifications!C:K,9,FALSE)</f>
        <v>0</v>
      </c>
      <c r="F232">
        <f t="shared" si="106"/>
        <v>367</v>
      </c>
      <c r="G232" s="15"/>
      <c r="H232" s="42" t="str">
        <f t="shared" si="107"/>
        <v/>
      </c>
      <c r="I232" s="79" t="str">
        <f>IF(H232="","",IF($I$8="A",(RANK(H232,H$11:H$343,1)+COUNTIF(H$11:H232,H232)-1),(RANK(H232,H$11:H$343)+COUNTIF(H$11:H232,H232)-1)))</f>
        <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f>HLOOKUP($AX$9&amp;$AX$10,Data!$A$1:$ZZ$1980,(MATCH($C232,Data!$A$1:$A$1980,0)),FALSE)</f>
        <v>367</v>
      </c>
    </row>
    <row r="233" spans="1:50">
      <c r="A233" s="59" t="str">
        <f>$D$1&amp;223</f>
        <v>UA223</v>
      </c>
      <c r="B233" s="60">
        <f>IF(ISERROR(VLOOKUP(A238,classifications!A:C,3,FALSE)),0,VLOOKUP(A238,classifications!A:C,3,FALSE))</f>
        <v>0</v>
      </c>
      <c r="C233" t="s">
        <v>126</v>
      </c>
      <c r="D233" t="str">
        <f>VLOOKUP($C233,classifications!$C:$J,4,FALSE)</f>
        <v>SD</v>
      </c>
      <c r="E233">
        <f>VLOOKUP(C233,classifications!C:K,9,FALSE)</f>
        <v>0</v>
      </c>
      <c r="F233">
        <f t="shared" si="106"/>
        <v>508.7</v>
      </c>
      <c r="G233" s="15"/>
      <c r="H233" s="42" t="str">
        <f t="shared" si="107"/>
        <v/>
      </c>
      <c r="I233" s="79" t="str">
        <f>IF(H233="","",IF($I$8="A",(RANK(H233,H$11:H$343,1)+COUNTIF(H$11:H233,H233)-1),(RANK(H233,H$11:H$343)+COUNTIF(H$11:H233,H233)-1)))</f>
        <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f>HLOOKUP($AX$9&amp;$AX$10,Data!$A$1:$ZZ$1980,(MATCH($C233,Data!$A$1:$A$1980,0)),FALSE)</f>
        <v>508.7</v>
      </c>
    </row>
    <row r="234" spans="1:50">
      <c r="A234" s="59" t="str">
        <f>$D$1&amp;224</f>
        <v>UA224</v>
      </c>
      <c r="B234" s="60">
        <f>IF(ISERROR(VLOOKUP(A239,classifications!A:C,3,FALSE)),0,VLOOKUP(A239,classifications!A:C,3,FALSE))</f>
        <v>0</v>
      </c>
      <c r="C234" t="s">
        <v>127</v>
      </c>
      <c r="D234" t="str">
        <f>VLOOKUP($C234,classifications!$C:$J,4,FALSE)</f>
        <v>SD</v>
      </c>
      <c r="E234" t="str">
        <f>VLOOKUP(C234,classifications!C:K,9,FALSE)</f>
        <v>Sparse</v>
      </c>
      <c r="F234">
        <f t="shared" si="106"/>
        <v>443.9</v>
      </c>
      <c r="G234" s="15"/>
      <c r="H234" s="42" t="str">
        <f t="shared" si="107"/>
        <v/>
      </c>
      <c r="I234" s="79" t="str">
        <f>IF(H234="","",IF($I$8="A",(RANK(H234,H$11:H$343,1)+COUNTIF(H$11:H234,H234)-1),(RANK(H234,H$11:H$343)+COUNTIF(H$11:H234,H234)-1)))</f>
        <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f>HLOOKUP($AX$9&amp;$AX$10,Data!$A$1:$ZZ$1980,(MATCH($C234,Data!$A$1:$A$1980,0)),FALSE)</f>
        <v>443.9</v>
      </c>
    </row>
    <row r="235" spans="1:50">
      <c r="A235" s="59" t="str">
        <f>$D$1&amp;225</f>
        <v>UA225</v>
      </c>
      <c r="B235" s="60">
        <f>IF(ISERROR(VLOOKUP(A240,classifications!A:C,3,FALSE)),0,VLOOKUP(A240,classifications!A:C,3,FALSE))</f>
        <v>0</v>
      </c>
      <c r="C235" t="s">
        <v>242</v>
      </c>
      <c r="D235" t="str">
        <f>VLOOKUP($C235,classifications!$C:$J,4,FALSE)</f>
        <v>MD</v>
      </c>
      <c r="E235">
        <f>VLOOKUP(C235,classifications!C:K,9,FALSE)</f>
        <v>0</v>
      </c>
      <c r="F235">
        <f t="shared" si="106"/>
        <v>473</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473</v>
      </c>
    </row>
    <row r="236" spans="1:50">
      <c r="A236" s="59" t="str">
        <f>$D$1&amp;226</f>
        <v>UA226</v>
      </c>
      <c r="B236" s="60">
        <f>IF(ISERROR(VLOOKUP(A241,classifications!A:C,3,FALSE)),0,VLOOKUP(A241,classifications!A:C,3,FALSE))</f>
        <v>0</v>
      </c>
      <c r="C236" t="s">
        <v>128</v>
      </c>
      <c r="D236" t="str">
        <f>VLOOKUP($C236,classifications!$C:$J,4,FALSE)</f>
        <v>SD</v>
      </c>
      <c r="E236" t="str">
        <f>VLOOKUP(C236,classifications!C:K,9,FALSE)</f>
        <v>Sparse</v>
      </c>
      <c r="F236">
        <f t="shared" si="106"/>
        <v>430.1</v>
      </c>
      <c r="G236" s="15"/>
      <c r="H236" s="42" t="str">
        <f t="shared" si="107"/>
        <v/>
      </c>
      <c r="I236" s="79" t="str">
        <f>IF(H236="","",IF($I$8="A",(RANK(H236,H$11:H$343,1)+COUNTIF(H$11:H236,H236)-1),(RANK(H236,H$11:H$343)+COUNTIF(H$11:H236,H236)-1)))</f>
        <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f>HLOOKUP($AX$9&amp;$AX$10,Data!$A$1:$ZZ$1980,(MATCH($C236,Data!$A$1:$A$1980,0)),FALSE)</f>
        <v>430.1</v>
      </c>
    </row>
    <row r="237" spans="1:50">
      <c r="A237" s="59" t="str">
        <f>$D$1&amp;227</f>
        <v>UA227</v>
      </c>
      <c r="B237" s="60">
        <f>IF(ISERROR(VLOOKUP(A242,classifications!A:C,3,FALSE)),0,VLOOKUP(A242,classifications!A:C,3,FALSE))</f>
        <v>0</v>
      </c>
      <c r="C237" t="s">
        <v>129</v>
      </c>
      <c r="D237" t="str">
        <f>VLOOKUP($C237,classifications!$C:$J,4,FALSE)</f>
        <v>SD</v>
      </c>
      <c r="E237">
        <f>VLOOKUP(C237,classifications!C:K,9,FALSE)</f>
        <v>0</v>
      </c>
      <c r="F237">
        <f t="shared" si="106"/>
        <v>385.2</v>
      </c>
      <c r="G237" s="15"/>
      <c r="H237" s="42" t="str">
        <f t="shared" si="107"/>
        <v/>
      </c>
      <c r="I237" s="79" t="str">
        <f>IF(H237="","",IF($I$8="A",(RANK(H237,H$11:H$343,1)+COUNTIF(H$11:H237,H237)-1),(RANK(H237,H$11:H$343)+COUNTIF(H$11:H237,H237)-1)))</f>
        <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f>HLOOKUP($AX$9&amp;$AX$10,Data!$A$1:$ZZ$1980,(MATCH($C237,Data!$A$1:$A$1980,0)),FALSE)</f>
        <v>385.2</v>
      </c>
    </row>
    <row r="238" spans="1:50">
      <c r="A238" s="59" t="str">
        <f>$D$1&amp;228</f>
        <v>UA228</v>
      </c>
      <c r="B238" s="60">
        <f>IF(ISERROR(VLOOKUP(A243,classifications!A:C,3,FALSE)),0,VLOOKUP(A243,classifications!A:C,3,FALSE))</f>
        <v>0</v>
      </c>
      <c r="C238" t="s">
        <v>130</v>
      </c>
      <c r="D238" t="str">
        <f>VLOOKUP($C238,classifications!$C:$J,4,FALSE)</f>
        <v>SD</v>
      </c>
      <c r="E238">
        <f>VLOOKUP(C238,classifications!C:K,9,FALSE)</f>
        <v>0</v>
      </c>
      <c r="F238">
        <f t="shared" si="106"/>
        <v>452.6</v>
      </c>
      <c r="G238" s="15"/>
      <c r="H238" s="42" t="str">
        <f t="shared" si="107"/>
        <v/>
      </c>
      <c r="I238" s="79" t="str">
        <f>IF(H238="","",IF($I$8="A",(RANK(H238,H$11:H$343,1)+COUNTIF(H$11:H238,H238)-1),(RANK(H238,H$11:H$343)+COUNTIF(H$11:H238,H238)-1)))</f>
        <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f>HLOOKUP($AX$9&amp;$AX$10,Data!$A$1:$ZZ$1980,(MATCH($C238,Data!$A$1:$A$1980,0)),FALSE)</f>
        <v>452.6</v>
      </c>
    </row>
    <row r="239" spans="1:50">
      <c r="A239" s="59" t="str">
        <f>$D$1&amp;229</f>
        <v>UA229</v>
      </c>
      <c r="B239" s="60">
        <f>IF(ISERROR(VLOOKUP(A244,classifications!A:C,3,FALSE)),0,VLOOKUP(A244,classifications!A:C,3,FALSE))</f>
        <v>0</v>
      </c>
      <c r="C239" t="s">
        <v>131</v>
      </c>
      <c r="D239" t="str">
        <f>VLOOKUP($C239,classifications!$C:$J,4,FALSE)</f>
        <v>SD</v>
      </c>
      <c r="E239">
        <f>VLOOKUP(C239,classifications!C:K,9,FALSE)</f>
        <v>0</v>
      </c>
      <c r="F239">
        <f t="shared" si="106"/>
        <v>426</v>
      </c>
      <c r="G239" s="15"/>
      <c r="H239" s="42" t="str">
        <f t="shared" si="107"/>
        <v/>
      </c>
      <c r="I239" s="79" t="str">
        <f>IF(H239="","",IF($I$8="A",(RANK(H239,H$11:H$343,1)+COUNTIF(H$11:H239,H239)-1),(RANK(H239,H$11:H$343)+COUNTIF(H$11:H239,H239)-1)))</f>
        <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f>HLOOKUP($AX$9&amp;$AX$10,Data!$A$1:$ZZ$1980,(MATCH($C239,Data!$A$1:$A$1980,0)),FALSE)</f>
        <v>426</v>
      </c>
    </row>
    <row r="240" spans="1:50">
      <c r="A240" s="59" t="str">
        <f>$D$1&amp;230</f>
        <v>UA230</v>
      </c>
      <c r="B240" s="60">
        <f>IF(ISERROR(VLOOKUP(A245,classifications!A:C,3,FALSE)),0,VLOOKUP(A245,classifications!A:C,3,FALSE))</f>
        <v>0</v>
      </c>
      <c r="C240" t="s">
        <v>286</v>
      </c>
      <c r="D240" t="str">
        <f>VLOOKUP($C240,classifications!$C:$J,4,FALSE)</f>
        <v>UA</v>
      </c>
      <c r="E240" t="str">
        <f>VLOOKUP(C240,classifications!C:K,9,FALSE)</f>
        <v>Sparse</v>
      </c>
      <c r="F240">
        <f t="shared" si="106"/>
        <v>529.20000000000005</v>
      </c>
      <c r="G240" s="15"/>
      <c r="H240" s="42">
        <f t="shared" si="107"/>
        <v>529.20000000000005</v>
      </c>
      <c r="I240" s="79">
        <f>IF(H240="","",IF($I$8="A",(RANK(H240,H$11:H$343,1)+COUNTIF(H$11:H240,H240)-1),(RANK(H240,H$11:H$343)+COUNTIF(H$11:H240,H240)-1)))</f>
        <v>29</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529.20000000000005</v>
      </c>
    </row>
    <row r="241" spans="1:50">
      <c r="A241" s="59" t="str">
        <f>$D$1&amp;231</f>
        <v>UA231</v>
      </c>
      <c r="B241" s="60">
        <f>IF(ISERROR(VLOOKUP(A246,classifications!A:C,3,FALSE)),0,VLOOKUP(A246,classifications!A:C,3,FALSE))</f>
        <v>0</v>
      </c>
      <c r="C241" t="s">
        <v>132</v>
      </c>
      <c r="D241" t="str">
        <f>VLOOKUP($C241,classifications!$C:$J,4,FALSE)</f>
        <v>SD</v>
      </c>
      <c r="E241" t="str">
        <f>VLOOKUP(C241,classifications!C:K,9,FALSE)</f>
        <v>Sparse</v>
      </c>
      <c r="F241">
        <f t="shared" si="106"/>
        <v>464.6</v>
      </c>
      <c r="G241" s="15"/>
      <c r="H241" s="42" t="str">
        <f t="shared" si="107"/>
        <v/>
      </c>
      <c r="I241" s="79" t="str">
        <f>IF(H241="","",IF($I$8="A",(RANK(H241,H$11:H$343,1)+COUNTIF(H$11:H241,H241)-1),(RANK(H241,H$11:H$343)+COUNTIF(H$11:H241,H241)-1)))</f>
        <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f>HLOOKUP($AX$9&amp;$AX$10,Data!$A$1:$ZZ$1980,(MATCH($C241,Data!$A$1:$A$1980,0)),FALSE)</f>
        <v>464.6</v>
      </c>
    </row>
    <row r="242" spans="1:50">
      <c r="A242" s="59" t="str">
        <f>$D$1&amp;232</f>
        <v>UA232</v>
      </c>
      <c r="B242" s="60">
        <f>IF(ISERROR(VLOOKUP(A247,classifications!A:C,3,FALSE)),0,VLOOKUP(A247,classifications!A:C,3,FALSE))</f>
        <v>0</v>
      </c>
      <c r="C242" t="s">
        <v>243</v>
      </c>
      <c r="D242" t="str">
        <f>VLOOKUP($C242,classifications!$C:$J,4,FALSE)</f>
        <v>MD</v>
      </c>
      <c r="E242">
        <f>VLOOKUP(C242,classifications!C:K,9,FALSE)</f>
        <v>0</v>
      </c>
      <c r="F242">
        <f t="shared" si="106"/>
        <v>316.2</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f>HLOOKUP($AX$9&amp;$AX$10,Data!$A$1:$ZZ$1980,(MATCH($C242,Data!$A$1:$A$1980,0)),FALSE)</f>
        <v>316.2</v>
      </c>
    </row>
    <row r="243" spans="1:50">
      <c r="A243" s="59" t="str">
        <f>$D$1&amp;233</f>
        <v>UA233</v>
      </c>
      <c r="B243" s="60">
        <f>IF(ISERROR(VLOOKUP(A248,classifications!A:C,3,FALSE)),0,VLOOKUP(A248,classifications!A:C,3,FALSE))</f>
        <v>0</v>
      </c>
      <c r="C243" t="s">
        <v>244</v>
      </c>
      <c r="D243" t="str">
        <f>VLOOKUP($C243,classifications!$C:$J,4,FALSE)</f>
        <v>MD</v>
      </c>
      <c r="E243">
        <f>VLOOKUP(C243,classifications!C:K,9,FALSE)</f>
        <v>0</v>
      </c>
      <c r="F243">
        <f t="shared" si="106"/>
        <v>626.70000000000005</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626.70000000000005</v>
      </c>
    </row>
    <row r="244" spans="1:50">
      <c r="A244" s="59" t="str">
        <f>$D$1&amp;234</f>
        <v>UA234</v>
      </c>
      <c r="B244" s="60">
        <f>IF(ISERROR(VLOOKUP(A249,classifications!A:C,3,FALSE)),0,VLOOKUP(A249,classifications!A:C,3,FALSE))</f>
        <v>0</v>
      </c>
      <c r="C244" t="s">
        <v>133</v>
      </c>
      <c r="D244" t="str">
        <f>VLOOKUP($C244,classifications!$C:$J,4,FALSE)</f>
        <v>SD</v>
      </c>
      <c r="E244" t="str">
        <f>VLOOKUP(C244,classifications!C:K,9,FALSE)</f>
        <v>Sparse</v>
      </c>
      <c r="F244">
        <f t="shared" si="106"/>
        <v>439.3</v>
      </c>
      <c r="G244" s="15"/>
      <c r="H244" s="42" t="str">
        <f t="shared" si="107"/>
        <v/>
      </c>
      <c r="I244" s="79" t="str">
        <f>IF(H244="","",IF($I$8="A",(RANK(H244,H$11:H$343,1)+COUNTIF(H$11:H244,H244)-1),(RANK(H244,H$11:H$343)+COUNTIF(H$11:H244,H244)-1)))</f>
        <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f>HLOOKUP($AX$9&amp;$AX$10,Data!$A$1:$ZZ$1980,(MATCH($C244,Data!$A$1:$A$1980,0)),FALSE)</f>
        <v>439.3</v>
      </c>
    </row>
    <row r="245" spans="1:50">
      <c r="A245" s="59" t="str">
        <f>$D$1&amp;235</f>
        <v>UA235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
      </c>
      <c r="I245" s="79" t="str">
        <f>IF(H245="","",IF($I$8="A",(RANK(H245,H$11:H$343,1)+COUNTIF(H$11:H245,H245)-1),(RANK(H245,H$11:H$343)+COUNTIF(H$11:H245,H245)-1)))</f>
        <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UA236</v>
      </c>
      <c r="B246" s="60">
        <f>IF(ISERROR(VLOOKUP(A251,classifications!A:C,3,FALSE)),0,VLOOKUP(A251,classifications!A:C,3,FALSE))</f>
        <v>0</v>
      </c>
      <c r="C246" t="s">
        <v>245</v>
      </c>
      <c r="D246" t="str">
        <f>VLOOKUP($C246,classifications!$C:$J,4,FALSE)</f>
        <v>MD</v>
      </c>
      <c r="E246">
        <f>VLOOKUP(C246,classifications!C:K,9,FALSE)</f>
        <v>0</v>
      </c>
      <c r="F246">
        <f t="shared" si="106"/>
        <v>555.9</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f>HLOOKUP($AX$9&amp;$AX$10,Data!$A$1:$ZZ$1980,(MATCH($C246,Data!$A$1:$A$1980,0)),FALSE)</f>
        <v>555.9</v>
      </c>
    </row>
    <row r="247" spans="1:50">
      <c r="A247" s="59" t="str">
        <f>$D$1&amp;237</f>
        <v>UA237</v>
      </c>
      <c r="B247" s="60">
        <f>IF(ISERROR(VLOOKUP(A252,classifications!A:C,3,FALSE)),0,VLOOKUP(A252,classifications!A:C,3,FALSE))</f>
        <v>0</v>
      </c>
      <c r="C247" t="s">
        <v>135</v>
      </c>
      <c r="D247" t="str">
        <f>VLOOKUP($C247,classifications!$C:$J,4,FALSE)</f>
        <v>SD</v>
      </c>
      <c r="E247" t="str">
        <f>VLOOKUP(C247,classifications!C:K,9,FALSE)</f>
        <v>Sparse</v>
      </c>
      <c r="F247">
        <f t="shared" si="106"/>
        <v>530</v>
      </c>
      <c r="G247" s="15"/>
      <c r="H247" s="42" t="str">
        <f t="shared" si="107"/>
        <v/>
      </c>
      <c r="I247" s="79" t="str">
        <f>IF(H247="","",IF($I$8="A",(RANK(H247,H$11:H$343,1)+COUNTIF(H$11:H247,H247)-1),(RANK(H247,H$11:H$343)+COUNTIF(H$11:H247,H247)-1)))</f>
        <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f>HLOOKUP($AX$9&amp;$AX$10,Data!$A$1:$ZZ$1980,(MATCH($C247,Data!$A$1:$A$1980,0)),FALSE)</f>
        <v>530</v>
      </c>
    </row>
    <row r="248" spans="1:50">
      <c r="A248" s="59" t="str">
        <f>$D$1&amp;238</f>
        <v>UA238</v>
      </c>
      <c r="B248" s="60">
        <f>IF(ISERROR(VLOOKUP(A253,classifications!A:C,3,FALSE)),0,VLOOKUP(A253,classifications!A:C,3,FALSE))</f>
        <v>0</v>
      </c>
      <c r="C248" t="s">
        <v>136</v>
      </c>
      <c r="D248" t="str">
        <f>VLOOKUP($C248,classifications!$C:$J,4,FALSE)</f>
        <v>SD</v>
      </c>
      <c r="E248">
        <f>VLOOKUP(C248,classifications!C:K,9,FALSE)</f>
        <v>0</v>
      </c>
      <c r="F248">
        <f t="shared" si="106"/>
        <v>570.9</v>
      </c>
      <c r="G248" s="15"/>
      <c r="H248" s="42" t="str">
        <f t="shared" si="107"/>
        <v/>
      </c>
      <c r="I248" s="79" t="str">
        <f>IF(H248="","",IF($I$8="A",(RANK(H248,H$11:H$343,1)+COUNTIF(H$11:H248,H248)-1),(RANK(H248,H$11:H$343)+COUNTIF(H$11:H248,H248)-1)))</f>
        <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f>HLOOKUP($AX$9&amp;$AX$10,Data!$A$1:$ZZ$1980,(MATCH($C248,Data!$A$1:$A$1980,0)),FALSE)</f>
        <v>570.9</v>
      </c>
    </row>
    <row r="249" spans="1:50">
      <c r="A249" s="59" t="str">
        <f>$D$1&amp;239</f>
        <v>UA239</v>
      </c>
      <c r="B249" s="60">
        <f>IF(ISERROR(VLOOKUP(A254,classifications!A:C,3,FALSE)),0,VLOOKUP(A254,classifications!A:C,3,FALSE))</f>
        <v>0</v>
      </c>
      <c r="C249" t="s">
        <v>246</v>
      </c>
      <c r="D249" t="str">
        <f>VLOOKUP($C249,classifications!$C:$J,4,FALSE)</f>
        <v>MD</v>
      </c>
      <c r="E249">
        <f>VLOOKUP(C249,classifications!C:K,9,FALSE)</f>
        <v>0</v>
      </c>
      <c r="F249">
        <f t="shared" si="106"/>
        <v>478.7</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478.7</v>
      </c>
    </row>
    <row r="250" spans="1:50">
      <c r="A250" s="59" t="str">
        <f>$D$1&amp;240</f>
        <v>UA240</v>
      </c>
      <c r="B250" s="60">
        <f>IF(ISERROR(VLOOKUP(A255,classifications!A:C,3,FALSE)),0,VLOOKUP(A255,classifications!A:C,3,FALSE))</f>
        <v>0</v>
      </c>
      <c r="C250" t="s">
        <v>903</v>
      </c>
      <c r="D250" t="str">
        <f>VLOOKUP($C250,classifications!$C:$J,4,FALSE)</f>
        <v>SD</v>
      </c>
      <c r="E250">
        <f>VLOOKUP(C250,classifications!C:K,9,FALSE)</f>
        <v>0</v>
      </c>
      <c r="F250">
        <f t="shared" si="106"/>
        <v>419.4</v>
      </c>
      <c r="G250" s="15"/>
      <c r="H250" s="42" t="str">
        <f t="shared" si="107"/>
        <v/>
      </c>
      <c r="I250" s="79" t="str">
        <f>IF(H250="","",IF($I$8="A",(RANK(H250,H$11:H$343,1)+COUNTIF(H$11:H250,H250)-1),(RANK(H250,H$11:H$343)+COUNTIF(H$11:H250,H250)-1)))</f>
        <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f>HLOOKUP($AX$9&amp;$AX$10,Data!$A$1:$ZZ$1980,(MATCH($C250,Data!$A$1:$A$1980,0)),FALSE)</f>
        <v>419.4</v>
      </c>
    </row>
    <row r="251" spans="1:50">
      <c r="A251" s="59" t="str">
        <f>$D$1&amp;241</f>
        <v>UA241</v>
      </c>
      <c r="B251" s="60">
        <f>IF(ISERROR(VLOOKUP(A256,classifications!A:C,3,FALSE)),0,VLOOKUP(A256,classifications!A:C,3,FALSE))</f>
        <v>0</v>
      </c>
      <c r="C251" t="s">
        <v>326</v>
      </c>
      <c r="D251" t="str">
        <f>VLOOKUP($C251,classifications!$C:$J,4,FALSE)</f>
        <v>UA</v>
      </c>
      <c r="E251" t="str">
        <f>VLOOKUP(C251,classifications!C:K,9,FALSE)</f>
        <v>Sparse</v>
      </c>
      <c r="F251">
        <f t="shared" si="106"/>
        <v>502</v>
      </c>
      <c r="G251" s="15"/>
      <c r="H251" s="42">
        <f t="shared" si="107"/>
        <v>502</v>
      </c>
      <c r="I251" s="79">
        <f>IF(H251="","",IF($I$8="A",(RANK(H251,H$11:H$343,1)+COUNTIF(H$11:H251,H251)-1),(RANK(H251,H$11:H$343)+COUNTIF(H$11:H251,H251)-1)))</f>
        <v>23</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502</v>
      </c>
    </row>
    <row r="252" spans="1:50">
      <c r="A252" s="59" t="str">
        <f>$D$1&amp;242</f>
        <v>UA242</v>
      </c>
      <c r="B252" s="60">
        <f>IF(ISERROR(VLOOKUP(A257,classifications!A:C,3,FALSE)),0,VLOOKUP(A257,classifications!A:C,3,FALSE))</f>
        <v>0</v>
      </c>
      <c r="C252" t="s">
        <v>287</v>
      </c>
      <c r="D252" t="str">
        <f>VLOOKUP($C252,classifications!$C:$J,4,FALSE)</f>
        <v>UA</v>
      </c>
      <c r="E252">
        <f>VLOOKUP(C252,classifications!C:K,9,FALSE)</f>
        <v>0</v>
      </c>
      <c r="F252">
        <f t="shared" si="106"/>
        <v>660.8</v>
      </c>
      <c r="G252" s="15"/>
      <c r="H252" s="42">
        <f t="shared" si="107"/>
        <v>660.8</v>
      </c>
      <c r="I252" s="79">
        <f>IF(H252="","",IF($I$8="A",(RANK(H252,H$11:H$343,1)+COUNTIF(H$11:H252,H252)-1),(RANK(H252,H$11:H$343)+COUNTIF(H$11:H252,H252)-1)))</f>
        <v>54</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660.8</v>
      </c>
    </row>
    <row r="253" spans="1:50">
      <c r="A253" s="59" t="str">
        <f>$D$1&amp;243</f>
        <v>UA243</v>
      </c>
      <c r="B253" s="60">
        <f>IF(ISERROR(VLOOKUP(A258,classifications!A:C,3,FALSE)),0,VLOOKUP(A258,classifications!A:C,3,FALSE))</f>
        <v>0</v>
      </c>
      <c r="C253" t="s">
        <v>247</v>
      </c>
      <c r="D253" t="str">
        <f>VLOOKUP($C253,classifications!$C:$J,4,FALSE)</f>
        <v>MD</v>
      </c>
      <c r="E253">
        <f>VLOOKUP(C253,classifications!C:K,9,FALSE)</f>
        <v>0</v>
      </c>
      <c r="F253">
        <f t="shared" si="106"/>
        <v>541.4</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541.4</v>
      </c>
    </row>
    <row r="254" spans="1:50">
      <c r="A254" s="59" t="str">
        <f>$D$1&amp;244</f>
        <v>UA244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
      </c>
      <c r="I254" s="79" t="str">
        <f>IF(H254="","",IF($I$8="A",(RANK(H254,H$11:H$343,1)+COUNTIF(H$11:H254,H254)-1),(RANK(H254,H$11:H$343)+COUNTIF(H$11:H254,H254)-1)))</f>
        <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UA245</v>
      </c>
      <c r="B255" s="60">
        <f>IF(ISERROR(VLOOKUP(A261,classifications!A:C,3,FALSE)),0,VLOOKUP(A261,classifications!A:C,3,FALSE))</f>
        <v>0</v>
      </c>
      <c r="C255" t="s">
        <v>912</v>
      </c>
      <c r="D255" t="str">
        <f>VLOOKUP($C255,classifications!$C:$J,4,FALSE)</f>
        <v>SD</v>
      </c>
      <c r="E255" t="str">
        <f>VLOOKUP(C255,classifications!C:K,9,FALSE)</f>
        <v>Sparse</v>
      </c>
      <c r="F255">
        <f t="shared" si="106"/>
        <v>404.5</v>
      </c>
      <c r="G255" s="15"/>
      <c r="H255" s="42" t="str">
        <f t="shared" si="107"/>
        <v/>
      </c>
      <c r="I255" s="79" t="str">
        <f>IF(H255="","",IF($I$8="A",(RANK(H255,H$11:H$343,1)+COUNTIF(H$11:H255,H255)-1),(RANK(H255,H$11:H$343)+COUNTIF(H$11:H255,H255)-1)))</f>
        <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f>HLOOKUP($AX$9&amp;$AX$10,Data!$A$1:$ZZ$1980,(MATCH($C255,Data!$A$1:$A$1980,0)),FALSE)</f>
        <v>404.5</v>
      </c>
    </row>
    <row r="256" spans="1:50">
      <c r="A256" s="59" t="str">
        <f>$D$1&amp;246</f>
        <v>UA246</v>
      </c>
      <c r="B256" s="60">
        <f>IF(ISERROR(VLOOKUP(A262,classifications!A:C,3,FALSE)),0,VLOOKUP(A262,classifications!A:C,3,FALSE))</f>
        <v>0</v>
      </c>
      <c r="C256" t="s">
        <v>140</v>
      </c>
      <c r="D256" t="str">
        <f>VLOOKUP($C256,classifications!$C:$J,4,FALSE)</f>
        <v>SD</v>
      </c>
      <c r="E256">
        <f>VLOOKUP(C256,classifications!C:K,9,FALSE)</f>
        <v>0</v>
      </c>
      <c r="F256">
        <f t="shared" si="106"/>
        <v>469.5</v>
      </c>
      <c r="G256" s="15"/>
      <c r="H256" s="42" t="str">
        <f t="shared" si="107"/>
        <v/>
      </c>
      <c r="I256" s="79" t="str">
        <f>IF(H256="","",IF($I$8="A",(RANK(H256,H$11:H$343,1)+COUNTIF(H$11:H256,H256)-1),(RANK(H256,H$11:H$343)+COUNTIF(H$11:H256,H256)-1)))</f>
        <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f>HLOOKUP($AX$9&amp;$AX$10,Data!$A$1:$ZZ$1980,(MATCH($C256,Data!$A$1:$A$1980,0)),FALSE)</f>
        <v>469.5</v>
      </c>
    </row>
    <row r="257" spans="1:50">
      <c r="A257" s="59" t="str">
        <f>$D$1&amp;247</f>
        <v>UA247</v>
      </c>
      <c r="B257" s="60">
        <f>IF(ISERROR(VLOOKUP(A263,classifications!A:C,3,FALSE)),0,VLOOKUP(A263,classifications!A:C,3,FALSE))</f>
        <v>0</v>
      </c>
      <c r="C257" t="s">
        <v>288</v>
      </c>
      <c r="D257" t="str">
        <f>VLOOKUP($C257,classifications!$C:$J,4,FALSE)</f>
        <v>UA</v>
      </c>
      <c r="E257">
        <f>VLOOKUP(C257,classifications!C:K,9,FALSE)</f>
        <v>0</v>
      </c>
      <c r="F257">
        <f t="shared" si="106"/>
        <v>377.7</v>
      </c>
      <c r="G257" s="15"/>
      <c r="H257" s="42">
        <f t="shared" si="107"/>
        <v>377.7</v>
      </c>
      <c r="I257" s="79">
        <f>IF(H257="","",IF($I$8="A",(RANK(H257,H$11:H$343,1)+COUNTIF(H$11:H257,H257)-1),(RANK(H257,H$11:H$343)+COUNTIF(H$11:H257,H257)-1)))</f>
        <v>4</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377.7</v>
      </c>
    </row>
    <row r="258" spans="1:50">
      <c r="A258" s="59" t="str">
        <f>$D$1&amp;248</f>
        <v>UA248</v>
      </c>
      <c r="B258" s="60">
        <f>IF(ISERROR(VLOOKUP(A264,classifications!A:C,3,FALSE)),0,VLOOKUP(A264,classifications!A:C,3,FALSE))</f>
        <v>0</v>
      </c>
      <c r="C258" t="s">
        <v>141</v>
      </c>
      <c r="D258" t="str">
        <f>VLOOKUP($C258,classifications!$C:$J,4,FALSE)</f>
        <v>SD</v>
      </c>
      <c r="E258" t="str">
        <f>VLOOKUP(C258,classifications!C:K,9,FALSE)</f>
        <v>Sparse</v>
      </c>
      <c r="F258">
        <f t="shared" si="106"/>
        <v>361.6</v>
      </c>
      <c r="G258" s="15"/>
      <c r="H258" s="42" t="str">
        <f t="shared" si="107"/>
        <v/>
      </c>
      <c r="I258" s="79" t="str">
        <f>IF(H258="","",IF($I$8="A",(RANK(H258,H$11:H$343,1)+COUNTIF(H$11:H258,H258)-1),(RANK(H258,H$11:H$343)+COUNTIF(H$11:H258,H258)-1)))</f>
        <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f>HLOOKUP($AX$9&amp;$AX$10,Data!$A$1:$ZZ$1980,(MATCH($C258,Data!$A$1:$A$1980,0)),FALSE)</f>
        <v>361.6</v>
      </c>
    </row>
    <row r="259" spans="1:50">
      <c r="A259" s="59" t="str">
        <f>$D$1&amp;249</f>
        <v>UA249</v>
      </c>
      <c r="B259" s="60">
        <f>IF(ISERROR(VLOOKUP(A265,classifications!A:C,3,FALSE)),0,VLOOKUP(A265,classifications!A:C,3,FALSE))</f>
        <v>0</v>
      </c>
      <c r="C259" t="s">
        <v>142</v>
      </c>
      <c r="D259" t="str">
        <f>VLOOKUP($C259,classifications!$C:$J,4,FALSE)</f>
        <v>SD</v>
      </c>
      <c r="E259" t="str">
        <f>VLOOKUP(C259,classifications!C:K,9,FALSE)</f>
        <v>Sparse</v>
      </c>
      <c r="F259">
        <f t="shared" si="106"/>
        <v>555.4</v>
      </c>
      <c r="G259" s="15"/>
      <c r="H259" s="42" t="str">
        <f t="shared" si="107"/>
        <v/>
      </c>
      <c r="I259" s="79" t="str">
        <f>IF(H259="","",IF($I$8="A",(RANK(H259,H$11:H$343,1)+COUNTIF(H$11:H259,H259)-1),(RANK(H259,H$11:H$343)+COUNTIF(H$11:H259,H259)-1)))</f>
        <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f>HLOOKUP($AX$9&amp;$AX$10,Data!$A$1:$ZZ$1980,(MATCH($C259,Data!$A$1:$A$1980,0)),FALSE)</f>
        <v>555.4</v>
      </c>
    </row>
    <row r="260" spans="1:50">
      <c r="A260" s="59" t="str">
        <f>$D$1&amp;250</f>
        <v>UA250</v>
      </c>
      <c r="B260" s="60">
        <f>IF(ISERROR(VLOOKUP(A266,classifications!A:C,3,FALSE)),0,VLOOKUP(A266,classifications!A:C,3,FALSE))</f>
        <v>0</v>
      </c>
      <c r="C260" t="s">
        <v>143</v>
      </c>
      <c r="D260" t="str">
        <f>VLOOKUP($C260,classifications!$C:$J,4,FALSE)</f>
        <v>SD</v>
      </c>
      <c r="E260" t="str">
        <f>VLOOKUP(C260,classifications!C:K,9,FALSE)</f>
        <v>Sparse</v>
      </c>
      <c r="F260">
        <f t="shared" si="106"/>
        <v>485.9</v>
      </c>
      <c r="G260" s="15"/>
      <c r="H260" s="42" t="str">
        <f t="shared" si="107"/>
        <v/>
      </c>
      <c r="I260" s="79" t="str">
        <f>IF(H260="","",IF($I$8="A",(RANK(H260,H$11:H$343,1)+COUNTIF(H$11:H260,H260)-1),(RANK(H260,H$11:H$343)+COUNTIF(H$11:H260,H260)-1)))</f>
        <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f>HLOOKUP($AX$9&amp;$AX$10,Data!$A$1:$ZZ$1980,(MATCH($C260,Data!$A$1:$A$1980,0)),FALSE)</f>
        <v>485.9</v>
      </c>
    </row>
    <row r="261" spans="1:50">
      <c r="A261" s="59" t="str">
        <f>$D$1&amp;251</f>
        <v>UA251</v>
      </c>
      <c r="B261" s="60">
        <f>IF(ISERROR(VLOOKUP(A267,classifications!A:C,3,FALSE)),0,VLOOKUP(A267,classifications!A:C,3,FALSE))</f>
        <v>0</v>
      </c>
      <c r="C261" t="s">
        <v>144</v>
      </c>
      <c r="D261" t="str">
        <f>VLOOKUP($C261,classifications!$C:$J,4,FALSE)</f>
        <v>SD</v>
      </c>
      <c r="E261" t="str">
        <f>VLOOKUP(C261,classifications!C:K,9,FALSE)</f>
        <v>Sparse</v>
      </c>
      <c r="F261">
        <f t="shared" si="106"/>
        <v>456.3</v>
      </c>
      <c r="G261" s="15"/>
      <c r="H261" s="42" t="str">
        <f t="shared" si="107"/>
        <v/>
      </c>
      <c r="I261" s="79" t="str">
        <f>IF(H261="","",IF($I$8="A",(RANK(H261,H$11:H$343,1)+COUNTIF(H$11:H261,H261)-1),(RANK(H261,H$11:H$343)+COUNTIF(H$11:H261,H261)-1)))</f>
        <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f>HLOOKUP($AX$9&amp;$AX$10,Data!$A$1:$ZZ$1980,(MATCH($C261,Data!$A$1:$A$1980,0)),FALSE)</f>
        <v>456.3</v>
      </c>
    </row>
    <row r="262" spans="1:50">
      <c r="A262" s="59" t="str">
        <f>$D$1&amp;252</f>
        <v>UA252</v>
      </c>
      <c r="B262" s="60">
        <f>IF(ISERROR(VLOOKUP(A268,classifications!A:C,3,FALSE)),0,VLOOKUP(A268,classifications!A:C,3,FALSE))</f>
        <v>0</v>
      </c>
      <c r="C262" t="s">
        <v>145</v>
      </c>
      <c r="D262" t="str">
        <f>VLOOKUP($C262,classifications!$C:$J,4,FALSE)</f>
        <v>SD</v>
      </c>
      <c r="E262" t="str">
        <f>VLOOKUP(C262,classifications!C:K,9,FALSE)</f>
        <v>Sparse</v>
      </c>
      <c r="F262">
        <f t="shared" si="106"/>
        <v>468.5</v>
      </c>
      <c r="G262" s="15"/>
      <c r="H262" s="42" t="str">
        <f t="shared" si="107"/>
        <v/>
      </c>
      <c r="I262" s="79" t="str">
        <f>IF(H262="","",IF($I$8="A",(RANK(H262,H$11:H$343,1)+COUNTIF(H$11:H262,H262)-1),(RANK(H262,H$11:H$343)+COUNTIF(H$11:H262,H262)-1)))</f>
        <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f>HLOOKUP($AX$9&amp;$AX$10,Data!$A$1:$ZZ$1980,(MATCH($C262,Data!$A$1:$A$1980,0)),FALSE)</f>
        <v>468.5</v>
      </c>
    </row>
    <row r="263" spans="1:50">
      <c r="A263" s="59" t="str">
        <f>$D$1&amp;253</f>
        <v>UA253</v>
      </c>
      <c r="B263" s="60">
        <f>IF(ISERROR(VLOOKUP(A270,classifications!A:C,3,FALSE)),0,VLOOKUP(A270,classifications!A:C,3,FALSE))</f>
        <v>0</v>
      </c>
      <c r="C263" t="s">
        <v>147</v>
      </c>
      <c r="D263" t="str">
        <f>VLOOKUP($C263,classifications!$C:$J,4,FALSE)</f>
        <v>SD</v>
      </c>
      <c r="E263" t="str">
        <f>VLOOKUP(C263,classifications!C:K,9,FALSE)</f>
        <v>Sparse</v>
      </c>
      <c r="F263">
        <f t="shared" si="106"/>
        <v>303.8</v>
      </c>
      <c r="G263" s="15"/>
      <c r="H263" s="42" t="str">
        <f t="shared" si="107"/>
        <v/>
      </c>
      <c r="I263" s="79" t="str">
        <f>IF(H263="","",IF($I$8="A",(RANK(H263,H$11:H$343,1)+COUNTIF(H$11:H263,H263)-1),(RANK(H263,H$11:H$343)+COUNTIF(H$11:H263,H263)-1)))</f>
        <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f>HLOOKUP($AX$9&amp;$AX$10,Data!$A$1:$ZZ$1980,(MATCH($C263,Data!$A$1:$A$1980,0)),FALSE)</f>
        <v>303.8</v>
      </c>
    </row>
    <row r="264" spans="1:50">
      <c r="A264" s="59" t="str">
        <f>$D$1&amp;254</f>
        <v>UA254</v>
      </c>
      <c r="B264" s="60">
        <f>IF(ISERROR(VLOOKUP(A271,classifications!A:C,3,FALSE)),0,VLOOKUP(A271,classifications!A:C,3,FALSE))</f>
        <v>0</v>
      </c>
      <c r="C264" t="s">
        <v>148</v>
      </c>
      <c r="D264" t="str">
        <f>VLOOKUP($C264,classifications!$C:$J,4,FALSE)</f>
        <v>SD</v>
      </c>
      <c r="E264">
        <f>VLOOKUP(C264,classifications!C:K,9,FALSE)</f>
        <v>0</v>
      </c>
      <c r="F264">
        <f t="shared" si="106"/>
        <v>431.5</v>
      </c>
      <c r="G264" s="15"/>
      <c r="H264" s="42" t="str">
        <f t="shared" si="107"/>
        <v/>
      </c>
      <c r="I264" s="79" t="str">
        <f>IF(H264="","",IF($I$8="A",(RANK(H264,H$11:H$343,1)+COUNTIF(H$11:H264,H264)-1),(RANK(H264,H$11:H$343)+COUNTIF(H$11:H264,H264)-1)))</f>
        <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f>HLOOKUP($AX$9&amp;$AX$10,Data!$A$1:$ZZ$1980,(MATCH($C264,Data!$A$1:$A$1980,0)),FALSE)</f>
        <v>431.5</v>
      </c>
    </row>
    <row r="265" spans="1:50">
      <c r="A265" s="59" t="str">
        <f>$D$1&amp;255</f>
        <v>UA255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
      </c>
      <c r="I265" s="79" t="str">
        <f>IF(H265="","",IF($I$8="A",(RANK(H265,H$11:H$343,1)+COUNTIF(H$11:H265,H265)-1),(RANK(H265,H$11:H$343)+COUNTIF(H$11:H265,H265)-1)))</f>
        <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UA256</v>
      </c>
      <c r="B266" s="60">
        <f>IF(ISERROR(VLOOKUP(A273,classifications!A:C,3,FALSE)),0,VLOOKUP(A273,classifications!A:C,3,FALSE))</f>
        <v>0</v>
      </c>
      <c r="C266" t="s">
        <v>150</v>
      </c>
      <c r="D266" t="str">
        <f>VLOOKUP($C266,classifications!$C:$J,4,FALSE)</f>
        <v>SD</v>
      </c>
      <c r="E266">
        <f>VLOOKUP(C266,classifications!C:K,9,FALSE)</f>
        <v>0</v>
      </c>
      <c r="F266">
        <f t="shared" si="106"/>
        <v>468.6</v>
      </c>
      <c r="G266" s="15"/>
      <c r="H266" s="42" t="str">
        <f t="shared" si="107"/>
        <v/>
      </c>
      <c r="I266" s="79" t="str">
        <f>IF(H266="","",IF($I$8="A",(RANK(H266,H$11:H$343,1)+COUNTIF(H$11:H266,H266)-1),(RANK(H266,H$11:H$343)+COUNTIF(H$11:H266,H266)-1)))</f>
        <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f>HLOOKUP($AX$9&amp;$AX$10,Data!$A$1:$ZZ$1980,(MATCH($C266,Data!$A$1:$A$1980,0)),FALSE)</f>
        <v>468.6</v>
      </c>
    </row>
    <row r="267" spans="1:50">
      <c r="A267" s="59" t="str">
        <f>$D$1&amp;257</f>
        <v>UA257</v>
      </c>
      <c r="B267" s="60">
        <f>IF(ISERROR(VLOOKUP(A274,classifications!A:C,3,FALSE)),0,VLOOKUP(A274,classifications!A:C,3,FALSE))</f>
        <v>0</v>
      </c>
      <c r="C267" t="s">
        <v>248</v>
      </c>
      <c r="D267" t="str">
        <f>VLOOKUP($C267,classifications!$C:$J,4,FALSE)</f>
        <v>MD</v>
      </c>
      <c r="E267">
        <f>VLOOKUP(C267,classifications!C:K,9,FALSE)</f>
        <v>0</v>
      </c>
      <c r="F267">
        <f t="shared" si="106"/>
        <v>590.6</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590.6</v>
      </c>
    </row>
    <row r="268" spans="1:50">
      <c r="A268" s="59" t="str">
        <f>$D$1&amp;258</f>
        <v>UA258</v>
      </c>
      <c r="B268" s="60">
        <f>IF(ISERROR(VLOOKUP(A275,classifications!A:C,3,FALSE)),0,VLOOKUP(A275,classifications!A:C,3,FALSE))</f>
        <v>0</v>
      </c>
      <c r="C268" t="s">
        <v>289</v>
      </c>
      <c r="D268" t="str">
        <f>VLOOKUP($C268,classifications!$C:$J,4,FALSE)</f>
        <v>UA</v>
      </c>
      <c r="E268">
        <f>VLOOKUP(C268,classifications!C:K,9,FALSE)</f>
        <v>0</v>
      </c>
      <c r="F268">
        <f t="shared" si="106"/>
        <v>570</v>
      </c>
      <c r="G268" s="15"/>
      <c r="H268" s="42">
        <f t="shared" si="107"/>
        <v>570</v>
      </c>
      <c r="I268" s="79">
        <f>IF(H268="","",IF($I$8="A",(RANK(H268,H$11:H$343,1)+COUNTIF(H$11:H268,H268)-1),(RANK(H268,H$11:H$343)+COUNTIF(H$11:H268,H268)-1)))</f>
        <v>43</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570</v>
      </c>
    </row>
    <row r="269" spans="1:50">
      <c r="A269" s="59" t="str">
        <f>$D$1&amp;259</f>
        <v>UA259</v>
      </c>
      <c r="B269" s="60">
        <f>IF(ISERROR(VLOOKUP(A276,classifications!A:C,3,FALSE)),0,VLOOKUP(A276,classifications!A:C,3,FALSE))</f>
        <v>0</v>
      </c>
      <c r="C269" t="s">
        <v>290</v>
      </c>
      <c r="D269" t="str">
        <f>VLOOKUP($C269,classifications!$C:$J,4,FALSE)</f>
        <v>UA</v>
      </c>
      <c r="E269">
        <f>VLOOKUP(C269,classifications!C:K,9,FALSE)</f>
        <v>0</v>
      </c>
      <c r="F269">
        <f t="shared" si="106"/>
        <v>509.6</v>
      </c>
      <c r="G269" s="15"/>
      <c r="H269" s="42">
        <f t="shared" si="107"/>
        <v>509.6</v>
      </c>
      <c r="I269" s="79">
        <f>IF(H269="","",IF($I$8="A",(RANK(H269,H$11:H$343,1)+COUNTIF(H$11:H269,H269)-1),(RANK(H269,H$11:H$343)+COUNTIF(H$11:H269,H269)-1)))</f>
        <v>24</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509.6</v>
      </c>
    </row>
    <row r="270" spans="1:50">
      <c r="A270" s="59" t="str">
        <f>$D$1&amp;260</f>
        <v>UA260</v>
      </c>
      <c r="B270" s="60">
        <f>IF(ISERROR(VLOOKUP(A277,classifications!A:C,3,FALSE)),0,VLOOKUP(A277,classifications!A:C,3,FALSE))</f>
        <v>0</v>
      </c>
      <c r="C270" t="s">
        <v>218</v>
      </c>
      <c r="D270" t="str">
        <f>VLOOKUP($C270,classifications!$C:$J,4,FALSE)</f>
        <v>L</v>
      </c>
      <c r="E270">
        <f>VLOOKUP(C270,classifications!C:K,9,FALSE)</f>
        <v>0</v>
      </c>
      <c r="F270">
        <f t="shared" si="106"/>
        <v>490.6</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490.6</v>
      </c>
    </row>
    <row r="271" spans="1:50">
      <c r="A271" s="59" t="str">
        <f>$D$1&amp;261</f>
        <v>UA261</v>
      </c>
      <c r="B271" s="60">
        <f>IF(ISERROR(VLOOKUP(A278,classifications!A:C,3,FALSE)),0,VLOOKUP(A278,classifications!A:C,3,FALSE))</f>
        <v>0</v>
      </c>
      <c r="C271" t="s">
        <v>151</v>
      </c>
      <c r="D271" t="str">
        <f>VLOOKUP($C271,classifications!$C:$J,4,FALSE)</f>
        <v>SD</v>
      </c>
      <c r="E271">
        <f>VLOOKUP(C271,classifications!C:K,9,FALSE)</f>
        <v>0</v>
      </c>
      <c r="F271">
        <f t="shared" si="106"/>
        <v>437.5</v>
      </c>
      <c r="G271" s="15"/>
      <c r="H271" s="42" t="str">
        <f t="shared" si="107"/>
        <v/>
      </c>
      <c r="I271" s="79" t="str">
        <f>IF(H271="","",IF($I$8="A",(RANK(H271,H$11:H$343,1)+COUNTIF(H$11:H271,H271)-1),(RANK(H271,H$11:H$343)+COUNTIF(H$11:H271,H271)-1)))</f>
        <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f>HLOOKUP($AX$9&amp;$AX$10,Data!$A$1:$ZZ$1980,(MATCH($C271,Data!$A$1:$A$1980,0)),FALSE)</f>
        <v>437.5</v>
      </c>
    </row>
    <row r="272" spans="1:50">
      <c r="A272" s="59" t="str">
        <f>$D$1&amp;262</f>
        <v>UA262</v>
      </c>
      <c r="B272" s="60">
        <f>IF(ISERROR(VLOOKUP(A279,classifications!A:C,3,FALSE)),0,VLOOKUP(A279,classifications!A:C,3,FALSE))</f>
        <v>0</v>
      </c>
      <c r="C272" t="s">
        <v>152</v>
      </c>
      <c r="D272" t="str">
        <f>VLOOKUP($C272,classifications!$C:$J,4,FALSE)</f>
        <v>SD</v>
      </c>
      <c r="E272">
        <f>VLOOKUP(C272,classifications!C:K,9,FALSE)</f>
        <v>0</v>
      </c>
      <c r="F272">
        <f t="shared" si="106"/>
        <v>316.2</v>
      </c>
      <c r="G272" s="15"/>
      <c r="H272" s="42" t="str">
        <f t="shared" si="107"/>
        <v/>
      </c>
      <c r="I272" s="79" t="str">
        <f>IF(H272="","",IF($I$8="A",(RANK(H272,H$11:H$343,1)+COUNTIF(H$11:H272,H272)-1),(RANK(H272,H$11:H$343)+COUNTIF(H$11:H272,H272)-1)))</f>
        <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f>HLOOKUP($AX$9&amp;$AX$10,Data!$A$1:$ZZ$1980,(MATCH($C272,Data!$A$1:$A$1980,0)),FALSE)</f>
        <v>316.2</v>
      </c>
    </row>
    <row r="273" spans="1:50">
      <c r="A273" s="59" t="str">
        <f>$D$1&amp;263</f>
        <v>UA263</v>
      </c>
      <c r="B273" s="60">
        <f>IF(ISERROR(VLOOKUP(A280,classifications!A:C,3,FALSE)),0,VLOOKUP(A280,classifications!A:C,3,FALSE))</f>
        <v>0</v>
      </c>
      <c r="C273" t="s">
        <v>901</v>
      </c>
      <c r="D273" t="str">
        <f>VLOOKUP($C273,classifications!$C:$J,4,FALSE)</f>
        <v>SD</v>
      </c>
      <c r="E273" t="str">
        <f>VLOOKUP(C273,classifications!C:K,9,FALSE)</f>
        <v>Sparse</v>
      </c>
      <c r="F273">
        <f t="shared" si="106"/>
        <v>504.4</v>
      </c>
      <c r="G273" s="15"/>
      <c r="H273" s="42" t="str">
        <f t="shared" si="107"/>
        <v/>
      </c>
      <c r="I273" s="79" t="str">
        <f>IF(H273="","",IF($I$8="A",(RANK(H273,H$11:H$343,1)+COUNTIF(H$11:H273,H273)-1),(RANK(H273,H$11:H$343)+COUNTIF(H$11:H273,H273)-1)))</f>
        <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f>HLOOKUP($AX$9&amp;$AX$10,Data!$A$1:$ZZ$1980,(MATCH($C273,Data!$A$1:$A$1980,0)),FALSE)</f>
        <v>504.4</v>
      </c>
    </row>
    <row r="274" spans="1:50">
      <c r="A274" s="59" t="str">
        <f>$D$1&amp;264</f>
        <v>UA264</v>
      </c>
      <c r="B274" s="60">
        <f>IF(ISERROR(VLOOKUP(A281,classifications!A:C,3,FALSE)),0,VLOOKUP(A281,classifications!A:C,3,FALSE))</f>
        <v>0</v>
      </c>
      <c r="C274" t="s">
        <v>249</v>
      </c>
      <c r="D274" t="str">
        <f>VLOOKUP($C274,classifications!$C:$J,4,FALSE)</f>
        <v>MD</v>
      </c>
      <c r="E274">
        <f>VLOOKUP(C274,classifications!C:K,9,FALSE)</f>
        <v>0</v>
      </c>
      <c r="F274">
        <f t="shared" si="106"/>
        <v>485.6</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f>HLOOKUP($AX$9&amp;$AX$10,Data!$A$1:$ZZ$1980,(MATCH($C274,Data!$A$1:$A$1980,0)),FALSE)</f>
        <v>485.6</v>
      </c>
    </row>
    <row r="275" spans="1:50">
      <c r="A275" s="59" t="str">
        <f>$D$1&amp;265</f>
        <v>UA265</v>
      </c>
      <c r="B275" s="60">
        <f>IF(ISERROR(VLOOKUP(A282,classifications!A:C,3,FALSE)),0,VLOOKUP(A282,classifications!A:C,3,FALSE))</f>
        <v>0</v>
      </c>
      <c r="C275" t="s">
        <v>154</v>
      </c>
      <c r="D275" t="str">
        <f>VLOOKUP($C275,classifications!$C:$J,4,FALSE)</f>
        <v>SD</v>
      </c>
      <c r="E275" t="str">
        <f>VLOOKUP(C275,classifications!C:K,9,FALSE)</f>
        <v>Sparse</v>
      </c>
      <c r="F275">
        <f t="shared" si="106"/>
        <v>449.4</v>
      </c>
      <c r="G275" s="15"/>
      <c r="H275" s="42" t="str">
        <f t="shared" si="107"/>
        <v/>
      </c>
      <c r="I275" s="79" t="str">
        <f>IF(H275="","",IF($I$8="A",(RANK(H275,H$11:H$343,1)+COUNTIF(H$11:H275,H275)-1),(RANK(H275,H$11:H$343)+COUNTIF(H$11:H275,H275)-1)))</f>
        <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f>HLOOKUP($AX$9&amp;$AX$10,Data!$A$1:$ZZ$1980,(MATCH($C275,Data!$A$1:$A$1980,0)),FALSE)</f>
        <v>449.4</v>
      </c>
    </row>
    <row r="276" spans="1:50">
      <c r="A276" s="59" t="str">
        <f>$D$1&amp;266</f>
        <v>UA266</v>
      </c>
      <c r="B276" s="60">
        <f>IF(ISERROR(VLOOKUP(A283,classifications!A:C,3,FALSE)),0,VLOOKUP(A283,classifications!A:C,3,FALSE))</f>
        <v>0</v>
      </c>
      <c r="C276" t="s">
        <v>328</v>
      </c>
      <c r="D276" t="str">
        <f>VLOOKUP($C276,classifications!$C:$J,4,FALSE)</f>
        <v>SC</v>
      </c>
      <c r="E276" t="str">
        <f>VLOOKUP(C276,classifications!C:K,9,FALSE)</f>
        <v>Sparse</v>
      </c>
      <c r="F276">
        <f t="shared" si="106"/>
        <v>548.79999999999995</v>
      </c>
      <c r="G276" s="15"/>
      <c r="H276" s="42" t="str">
        <f t="shared" si="107"/>
        <v/>
      </c>
      <c r="I276" s="79" t="str">
        <f>IF(H276="","",IF($I$8="A",(RANK(H276,H$11:H$343,1)+COUNTIF(H$11:H276,H276)-1),(RANK(H276,H$11:H$343)+COUNTIF(H$11:H276,H276)-1)))</f>
        <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548.79999999999995</v>
      </c>
    </row>
    <row r="277" spans="1:50">
      <c r="A277" s="59" t="str">
        <f>$D$1&amp;267</f>
        <v>UA267</v>
      </c>
      <c r="B277" s="60">
        <f>IF(ISERROR(VLOOKUP(A284,classifications!A:C,3,FALSE)),0,VLOOKUP(A284,classifications!A:C,3,FALSE))</f>
        <v>0</v>
      </c>
      <c r="C277" t="s">
        <v>155</v>
      </c>
      <c r="D277" t="str">
        <f>VLOOKUP($C277,classifications!$C:$J,4,FALSE)</f>
        <v>SD</v>
      </c>
      <c r="E277">
        <f>VLOOKUP(C277,classifications!C:K,9,FALSE)</f>
        <v>0</v>
      </c>
      <c r="F277">
        <f t="shared" si="106"/>
        <v>384.2</v>
      </c>
      <c r="G277" s="15"/>
      <c r="H277" s="42" t="str">
        <f t="shared" si="107"/>
        <v/>
      </c>
      <c r="I277" s="79" t="str">
        <f>IF(H277="","",IF($I$8="A",(RANK(H277,H$11:H$343,1)+COUNTIF(H$11:H277,H277)-1),(RANK(H277,H$11:H$343)+COUNTIF(H$11:H277,H277)-1)))</f>
        <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f>HLOOKUP($AX$9&amp;$AX$10,Data!$A$1:$ZZ$1980,(MATCH($C277,Data!$A$1:$A$1980,0)),FALSE)</f>
        <v>384.2</v>
      </c>
    </row>
    <row r="278" spans="1:50">
      <c r="A278" s="59" t="str">
        <f>$D$1&amp;268</f>
        <v>UA268</v>
      </c>
      <c r="B278" s="60">
        <f>IF(ISERROR(VLOOKUP(A285,classifications!A:C,3,FALSE)),0,VLOOKUP(A285,classifications!A:C,3,FALSE))</f>
        <v>0</v>
      </c>
      <c r="C278" t="s">
        <v>156</v>
      </c>
      <c r="D278" t="str">
        <f>VLOOKUP($C278,classifications!$C:$J,4,FALSE)</f>
        <v>SD</v>
      </c>
      <c r="E278">
        <f>VLOOKUP(C278,classifications!C:K,9,FALSE)</f>
        <v>0</v>
      </c>
      <c r="F278">
        <f t="shared" ref="F278:F341" si="129">HLOOKUP($D$6,AX$10:ZX$355,ROW()-9,FALSE)</f>
        <v>495</v>
      </c>
      <c r="G278" s="15"/>
      <c r="H278" s="42" t="str">
        <f t="shared" ref="H278:H341" si="130">IF(D278=$D$1,HLOOKUP($D$6,$AX$10:$ZZ$355,ROW()-9,FALSE),"")</f>
        <v/>
      </c>
      <c r="I278" s="79" t="str">
        <f>IF(H278="","",IF($I$8="A",(RANK(H278,H$11:H$343,1)+COUNTIF(H$11:H278,H278)-1),(RANK(H278,H$11:H$343)+COUNTIF(H$11:H278,H278)-1)))</f>
        <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f>HLOOKUP($AX$9&amp;$AX$10,Data!$A$1:$ZZ$1980,(MATCH($C278,Data!$A$1:$A$1980,0)),FALSE)</f>
        <v>495</v>
      </c>
    </row>
    <row r="279" spans="1:50">
      <c r="A279" s="59" t="str">
        <f>$D$1&amp;269</f>
        <v>UA269</v>
      </c>
      <c r="B279" s="60">
        <f>IF(ISERROR(VLOOKUP(A286,classifications!A:C,3,FALSE)),0,VLOOKUP(A286,classifications!A:C,3,FALSE))</f>
        <v>0</v>
      </c>
      <c r="C279" t="s">
        <v>250</v>
      </c>
      <c r="D279" t="str">
        <f>VLOOKUP($C279,classifications!$C:$J,4,FALSE)</f>
        <v>MD</v>
      </c>
      <c r="E279">
        <f>VLOOKUP(C279,classifications!C:K,9,FALSE)</f>
        <v>0</v>
      </c>
      <c r="F279">
        <f t="shared" si="129"/>
        <v>300.2</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f>HLOOKUP($AX$9&amp;$AX$10,Data!$A$1:$ZZ$1980,(MATCH($C279,Data!$A$1:$A$1980,0)),FALSE)</f>
        <v>300.2</v>
      </c>
    </row>
    <row r="280" spans="1:50">
      <c r="A280" s="59" t="str">
        <f>$D$1&amp;270</f>
        <v>UA270</v>
      </c>
      <c r="B280" s="60">
        <f>IF(ISERROR(VLOOKUP(A287,classifications!A:C,3,FALSE)),0,VLOOKUP(A287,classifications!A:C,3,FALSE))</f>
        <v>0</v>
      </c>
      <c r="C280" t="s">
        <v>291</v>
      </c>
      <c r="D280" t="str">
        <f>VLOOKUP($C280,classifications!$C:$J,4,FALSE)</f>
        <v>UA</v>
      </c>
      <c r="E280">
        <f>VLOOKUP(C280,classifications!C:K,9,FALSE)</f>
        <v>0</v>
      </c>
      <c r="F280">
        <f t="shared" si="129"/>
        <v>693.5</v>
      </c>
      <c r="G280" s="15"/>
      <c r="H280" s="42">
        <f t="shared" si="130"/>
        <v>693.5</v>
      </c>
      <c r="I280" s="79">
        <f>IF(H280="","",IF($I$8="A",(RANK(H280,H$11:H$343,1)+COUNTIF(H$11:H280,H280)-1),(RANK(H280,H$11:H$343)+COUNTIF(H$11:H280,H280)-1)))</f>
        <v>56</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693.5</v>
      </c>
    </row>
    <row r="281" spans="1:50">
      <c r="A281" s="59" t="str">
        <f>$D$1&amp;271</f>
        <v>UA271</v>
      </c>
      <c r="B281" s="60">
        <f>IF(ISERROR(VLOOKUP(A288,classifications!A:C,3,FALSE)),0,VLOOKUP(A288,classifications!A:C,3,FALSE))</f>
        <v>0</v>
      </c>
      <c r="C281" t="s">
        <v>292</v>
      </c>
      <c r="D281" t="str">
        <f>VLOOKUP($C281,classifications!$C:$J,4,FALSE)</f>
        <v>UA</v>
      </c>
      <c r="E281">
        <f>VLOOKUP(C281,classifications!C:K,9,FALSE)</f>
        <v>0</v>
      </c>
      <c r="F281">
        <f t="shared" si="129"/>
        <v>555.9</v>
      </c>
      <c r="G281" s="15"/>
      <c r="H281" s="42">
        <f t="shared" si="130"/>
        <v>555.9</v>
      </c>
      <c r="I281" s="79">
        <f>IF(H281="","",IF($I$8="A",(RANK(H281,H$11:H$343,1)+COUNTIF(H$11:H281,H281)-1),(RANK(H281,H$11:H$343)+COUNTIF(H$11:H281,H281)-1)))</f>
        <v>39</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555.9</v>
      </c>
    </row>
    <row r="282" spans="1:50">
      <c r="A282" s="59" t="str">
        <f>$D$1&amp;272</f>
        <v>UA272</v>
      </c>
      <c r="B282" s="60">
        <f>IF(ISERROR(VLOOKUP(A289,classifications!A:C,3,FALSE)),0,VLOOKUP(A289,classifications!A:C,3,FALSE))</f>
        <v>0</v>
      </c>
      <c r="C282" t="s">
        <v>157</v>
      </c>
      <c r="D282" t="str">
        <f>VLOOKUP($C282,classifications!$C:$J,4,FALSE)</f>
        <v>SD</v>
      </c>
      <c r="E282" t="str">
        <f>VLOOKUP(C282,classifications!C:K,9,FALSE)</f>
        <v>Sparse</v>
      </c>
      <c r="F282">
        <f t="shared" si="129"/>
        <v>319.60000000000002</v>
      </c>
      <c r="G282" s="15"/>
      <c r="H282" s="42" t="str">
        <f t="shared" si="130"/>
        <v/>
      </c>
      <c r="I282" s="79" t="str">
        <f>IF(H282="","",IF($I$8="A",(RANK(H282,H$11:H$343,1)+COUNTIF(H$11:H282,H282)-1),(RANK(H282,H$11:H$343)+COUNTIF(H$11:H282,H282)-1)))</f>
        <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f>HLOOKUP($AX$9&amp;$AX$10,Data!$A$1:$ZZ$1980,(MATCH($C282,Data!$A$1:$A$1980,0)),FALSE)</f>
        <v>319.60000000000002</v>
      </c>
    </row>
    <row r="283" spans="1:50">
      <c r="A283" s="59" t="str">
        <f>$D$1&amp;273</f>
        <v>UA273</v>
      </c>
      <c r="B283" s="60">
        <f>IF(ISERROR(VLOOKUP(A290,classifications!A:C,3,FALSE)),0,VLOOKUP(A290,classifications!A:C,3,FALSE))</f>
        <v>0</v>
      </c>
      <c r="C283" t="s">
        <v>158</v>
      </c>
      <c r="D283" t="str">
        <f>VLOOKUP($C283,classifications!$C:$J,4,FALSE)</f>
        <v>SD</v>
      </c>
      <c r="E283" t="str">
        <f>VLOOKUP(C283,classifications!C:K,9,FALSE)</f>
        <v>Sparse</v>
      </c>
      <c r="F283">
        <f t="shared" si="129"/>
        <v>293.3</v>
      </c>
      <c r="G283" s="15"/>
      <c r="H283" s="42" t="str">
        <f t="shared" si="130"/>
        <v/>
      </c>
      <c r="I283" s="79" t="str">
        <f>IF(H283="","",IF($I$8="A",(RANK(H283,H$11:H$343,1)+COUNTIF(H$11:H283,H283)-1),(RANK(H283,H$11:H$343)+COUNTIF(H$11:H283,H283)-1)))</f>
        <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f>HLOOKUP($AX$9&amp;$AX$10,Data!$A$1:$ZZ$1980,(MATCH($C283,Data!$A$1:$A$1980,0)),FALSE)</f>
        <v>293.3</v>
      </c>
    </row>
    <row r="284" spans="1:50">
      <c r="A284" s="59" t="str">
        <f>$D$1&amp;274</f>
        <v>UA274</v>
      </c>
      <c r="B284" s="60">
        <f>IF(ISERROR(VLOOKUP(A291,classifications!A:C,3,FALSE)),0,VLOOKUP(A291,classifications!A:C,3,FALSE))</f>
        <v>0</v>
      </c>
      <c r="C284" t="s">
        <v>329</v>
      </c>
      <c r="D284" t="str">
        <f>VLOOKUP($C284,classifications!$C:$J,4,FALSE)</f>
        <v>SC</v>
      </c>
      <c r="E284" t="str">
        <f>VLOOKUP(C284,classifications!C:K,9,FALSE)</f>
        <v>Sparse</v>
      </c>
      <c r="F284">
        <f t="shared" si="129"/>
        <v>557.70000000000005</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557.70000000000005</v>
      </c>
    </row>
    <row r="285" spans="1:50">
      <c r="A285" s="59" t="str">
        <f>$D$1&amp;275</f>
        <v>UA275</v>
      </c>
      <c r="B285" s="60">
        <f>IF(ISERROR(VLOOKUP(A292,classifications!A:C,3,FALSE)),0,VLOOKUP(A292,classifications!A:C,3,FALSE))</f>
        <v>0</v>
      </c>
      <c r="C285" t="s">
        <v>900</v>
      </c>
      <c r="D285" t="str">
        <f>VLOOKUP($C285,classifications!$C:$J,4,FALSE)</f>
        <v>SD</v>
      </c>
      <c r="E285" t="str">
        <f>VLOOKUP(C285,classifications!C:K,9,FALSE)</f>
        <v>Sparse</v>
      </c>
      <c r="F285">
        <f t="shared" si="129"/>
        <v>470</v>
      </c>
      <c r="G285" s="15"/>
      <c r="H285" s="42" t="str">
        <f t="shared" si="130"/>
        <v/>
      </c>
      <c r="I285" s="79" t="str">
        <f>IF(H285="","",IF($I$8="A",(RANK(H285,H$11:H$343,1)+COUNTIF(H$11:H285,H285)-1),(RANK(H285,H$11:H$343)+COUNTIF(H$11:H285,H285)-1)))</f>
        <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f>HLOOKUP($AX$9&amp;$AX$10,Data!$A$1:$ZZ$1980,(MATCH($C285,Data!$A$1:$A$1980,0)),FALSE)</f>
        <v>470</v>
      </c>
    </row>
    <row r="286" spans="1:50">
      <c r="A286" s="59" t="str">
        <f>$D$1&amp;276</f>
        <v>UA276</v>
      </c>
      <c r="B286" s="60">
        <f>IF(ISERROR(VLOOKUP(A293,classifications!A:C,3,FALSE)),0,VLOOKUP(A293,classifications!A:C,3,FALSE))</f>
        <v>0</v>
      </c>
      <c r="C286" t="s">
        <v>251</v>
      </c>
      <c r="D286" t="str">
        <f>VLOOKUP($C286,classifications!$C:$J,4,FALSE)</f>
        <v>MD</v>
      </c>
      <c r="E286">
        <f>VLOOKUP(C286,classifications!C:K,9,FALSE)</f>
        <v>0</v>
      </c>
      <c r="F286">
        <f t="shared" si="129"/>
        <v>581.79999999999995</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581.79999999999995</v>
      </c>
    </row>
    <row r="287" spans="1:50">
      <c r="A287" s="59" t="str">
        <f>$D$1&amp;277</f>
        <v>UA277</v>
      </c>
      <c r="B287" s="60">
        <f>IF(ISERROR(VLOOKUP(A294,classifications!A:C,3,FALSE)),0,VLOOKUP(A294,classifications!A:C,3,FALSE))</f>
        <v>0</v>
      </c>
      <c r="C287" t="s">
        <v>330</v>
      </c>
      <c r="D287" t="str">
        <f>VLOOKUP($C287,classifications!$C:$J,4,FALSE)</f>
        <v>SC</v>
      </c>
      <c r="E287">
        <f>VLOOKUP(C287,classifications!C:K,9,FALSE)</f>
        <v>0</v>
      </c>
      <c r="F287">
        <f t="shared" si="129"/>
        <v>441.6</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441.6</v>
      </c>
    </row>
    <row r="288" spans="1:50">
      <c r="A288" s="59" t="str">
        <f>$D$1&amp;278</f>
        <v>UA278</v>
      </c>
      <c r="B288" s="60">
        <f>IF(ISERROR(VLOOKUP(A295,classifications!A:C,3,FALSE)),0,VLOOKUP(A295,classifications!A:C,3,FALSE))</f>
        <v>0</v>
      </c>
      <c r="C288" t="s">
        <v>160</v>
      </c>
      <c r="D288" t="str">
        <f>VLOOKUP($C288,classifications!$C:$J,4,FALSE)</f>
        <v>SD</v>
      </c>
      <c r="E288">
        <f>VLOOKUP(C288,classifications!C:K,9,FALSE)</f>
        <v>0</v>
      </c>
      <c r="F288">
        <f t="shared" si="129"/>
        <v>333.9</v>
      </c>
      <c r="G288" s="15"/>
      <c r="H288" s="42" t="str">
        <f t="shared" si="130"/>
        <v/>
      </c>
      <c r="I288" s="79" t="str">
        <f>IF(H288="","",IF($I$8="A",(RANK(H288,H$11:H$343,1)+COUNTIF(H$11:H288,H288)-1),(RANK(H288,H$11:H$343)+COUNTIF(H$11:H288,H288)-1)))</f>
        <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f>HLOOKUP($AX$9&amp;$AX$10,Data!$A$1:$ZZ$1980,(MATCH($C288,Data!$A$1:$A$1980,0)),FALSE)</f>
        <v>333.9</v>
      </c>
    </row>
    <row r="289" spans="1:50">
      <c r="A289" s="59" t="str">
        <f>$D$1&amp;279</f>
        <v>UA279</v>
      </c>
      <c r="B289" s="60">
        <f>IF(ISERROR(VLOOKUP(A296,classifications!A:C,3,FALSE)),0,VLOOKUP(A296,classifications!A:C,3,FALSE))</f>
        <v>0</v>
      </c>
      <c r="C289" t="s">
        <v>219</v>
      </c>
      <c r="D289" t="str">
        <f>VLOOKUP($C289,classifications!$C:$J,4,FALSE)</f>
        <v>L</v>
      </c>
      <c r="E289">
        <f>VLOOKUP(C289,classifications!C:K,9,FALSE)</f>
        <v>0</v>
      </c>
      <c r="F289">
        <f t="shared" si="129"/>
        <v>439.1</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439.1</v>
      </c>
    </row>
    <row r="290" spans="1:50">
      <c r="A290" s="59" t="str">
        <f>$D$1&amp;280</f>
        <v>UA280</v>
      </c>
      <c r="B290" s="60">
        <f>IF(ISERROR(VLOOKUP(A297,classifications!A:C,3,FALSE)),0,VLOOKUP(A297,classifications!A:C,3,FALSE))</f>
        <v>0</v>
      </c>
      <c r="C290" t="s">
        <v>161</v>
      </c>
      <c r="D290" t="str">
        <f>VLOOKUP($C290,classifications!$C:$J,4,FALSE)</f>
        <v>SD</v>
      </c>
      <c r="E290">
        <f>VLOOKUP(C290,classifications!C:K,9,FALSE)</f>
        <v>0</v>
      </c>
      <c r="F290">
        <f t="shared" si="129"/>
        <v>481.7</v>
      </c>
      <c r="G290" s="15"/>
      <c r="H290" s="42" t="str">
        <f t="shared" si="130"/>
        <v/>
      </c>
      <c r="I290" s="79" t="str">
        <f>IF(H290="","",IF($I$8="A",(RANK(H290,H$11:H$343,1)+COUNTIF(H$11:H290,H290)-1),(RANK(H290,H$11:H$343)+COUNTIF(H$11:H290,H290)-1)))</f>
        <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f>HLOOKUP($AX$9&amp;$AX$10,Data!$A$1:$ZZ$1980,(MATCH($C290,Data!$A$1:$A$1980,0)),FALSE)</f>
        <v>481.7</v>
      </c>
    </row>
    <row r="291" spans="1:50">
      <c r="A291" s="59" t="str">
        <f>$D$1&amp;281</f>
        <v>UA281</v>
      </c>
      <c r="B291" s="60">
        <f>IF(ISERROR(VLOOKUP(A298,classifications!A:C,3,FALSE)),0,VLOOKUP(A298,classifications!A:C,3,FALSE))</f>
        <v>0</v>
      </c>
      <c r="C291" t="s">
        <v>293</v>
      </c>
      <c r="D291" t="str">
        <f>VLOOKUP($C291,classifications!$C:$J,4,FALSE)</f>
        <v>UA</v>
      </c>
      <c r="E291">
        <f>VLOOKUP(C291,classifications!C:K,9,FALSE)</f>
        <v>0</v>
      </c>
      <c r="F291">
        <f t="shared" si="129"/>
        <v>578.1</v>
      </c>
      <c r="G291" s="15"/>
      <c r="H291" s="42">
        <f t="shared" si="130"/>
        <v>578.1</v>
      </c>
      <c r="I291" s="79">
        <f>IF(H291="","",IF($I$8="A",(RANK(H291,H$11:H$343,1)+COUNTIF(H$11:H291,H291)-1),(RANK(H291,H$11:H$343)+COUNTIF(H$11:H291,H291)-1)))</f>
        <v>47</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578.1</v>
      </c>
    </row>
    <row r="292" spans="1:50">
      <c r="A292" s="59" t="str">
        <f>$D$1&amp;282</f>
        <v>UA282</v>
      </c>
      <c r="B292" s="60">
        <f>IF(ISERROR(VLOOKUP(A299,classifications!A:C,3,FALSE)),0,VLOOKUP(A299,classifications!A:C,3,FALSE))</f>
        <v>0</v>
      </c>
      <c r="C292" t="s">
        <v>252</v>
      </c>
      <c r="D292" t="str">
        <f>VLOOKUP($C292,classifications!$C:$J,4,FALSE)</f>
        <v>MD</v>
      </c>
      <c r="E292">
        <f>VLOOKUP(C292,classifications!C:K,9,FALSE)</f>
        <v>0</v>
      </c>
      <c r="F292">
        <f t="shared" si="129"/>
        <v>330.1</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f>HLOOKUP($AX$9&amp;$AX$10,Data!$A$1:$ZZ$1980,(MATCH($C292,Data!$A$1:$A$1980,0)),FALSE)</f>
        <v>330.1</v>
      </c>
    </row>
    <row r="293" spans="1:50">
      <c r="A293" s="59" t="str">
        <f>$D$1&amp;283</f>
        <v>UA283</v>
      </c>
      <c r="B293" s="60">
        <f>IF(ISERROR(VLOOKUP(A300,classifications!A:C,3,FALSE)),0,VLOOKUP(A300,classifications!A:C,3,FALSE))</f>
        <v>0</v>
      </c>
      <c r="C293" t="s">
        <v>162</v>
      </c>
      <c r="D293" t="str">
        <f>VLOOKUP($C293,classifications!$C:$J,4,FALSE)</f>
        <v>SD</v>
      </c>
      <c r="E293">
        <f>VLOOKUP(C293,classifications!C:K,9,FALSE)</f>
        <v>0</v>
      </c>
      <c r="F293">
        <f t="shared" si="129"/>
        <v>518</v>
      </c>
      <c r="G293" s="15"/>
      <c r="H293" s="42" t="str">
        <f t="shared" si="130"/>
        <v/>
      </c>
      <c r="I293" s="79" t="str">
        <f>IF(H293="","",IF($I$8="A",(RANK(H293,H$11:H$343,1)+COUNTIF(H$11:H293,H293)-1),(RANK(H293,H$11:H$343)+COUNTIF(H$11:H293,H293)-1)))</f>
        <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f>HLOOKUP($AX$9&amp;$AX$10,Data!$A$1:$ZZ$1980,(MATCH($C293,Data!$A$1:$A$1980,0)),FALSE)</f>
        <v>518</v>
      </c>
    </row>
    <row r="294" spans="1:50">
      <c r="A294" s="59" t="str">
        <f>$D$1&amp;284</f>
        <v>UA284</v>
      </c>
      <c r="B294" s="60">
        <f>IF(ISERROR(VLOOKUP(A301,classifications!A:C,3,FALSE)),0,VLOOKUP(A301,classifications!A:C,3,FALSE))</f>
        <v>0</v>
      </c>
      <c r="C294" t="s">
        <v>163</v>
      </c>
      <c r="D294" t="str">
        <f>VLOOKUP($C294,classifications!$C:$J,4,FALSE)</f>
        <v>SD</v>
      </c>
      <c r="E294">
        <f>VLOOKUP(C294,classifications!C:K,9,FALSE)</f>
        <v>0</v>
      </c>
      <c r="F294">
        <f t="shared" si="129"/>
        <v>353</v>
      </c>
      <c r="G294" s="15"/>
      <c r="H294" s="42" t="str">
        <f t="shared" si="130"/>
        <v/>
      </c>
      <c r="I294" s="79" t="str">
        <f>IF(H294="","",IF($I$8="A",(RANK(H294,H$11:H$343,1)+COUNTIF(H$11:H294,H294)-1),(RANK(H294,H$11:H$343)+COUNTIF(H$11:H294,H294)-1)))</f>
        <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f>HLOOKUP($AX$9&amp;$AX$10,Data!$A$1:$ZZ$1980,(MATCH($C294,Data!$A$1:$A$1980,0)),FALSE)</f>
        <v>353</v>
      </c>
    </row>
    <row r="295" spans="1:50">
      <c r="A295" s="59" t="str">
        <f>$D$1&amp;285</f>
        <v>UA285</v>
      </c>
      <c r="B295" s="60">
        <f>IF(ISERROR(VLOOKUP(A303,classifications!A:C,3,FALSE)),0,VLOOKUP(A303,classifications!A:C,3,FALSE))</f>
        <v>0</v>
      </c>
      <c r="C295" t="s">
        <v>165</v>
      </c>
      <c r="D295" t="str">
        <f>VLOOKUP($C295,classifications!$C:$J,4,FALSE)</f>
        <v>SD</v>
      </c>
      <c r="E295" t="str">
        <f>VLOOKUP(C295,classifications!C:K,9,FALSE)</f>
        <v>Sparse</v>
      </c>
      <c r="F295">
        <f t="shared" si="129"/>
        <v>347</v>
      </c>
      <c r="G295" s="15"/>
      <c r="H295" s="42" t="str">
        <f t="shared" si="130"/>
        <v/>
      </c>
      <c r="I295" s="79" t="str">
        <f>IF(H295="","",IF($I$8="A",(RANK(H295,H$11:H$343,1)+COUNTIF(H$11:H295,H295)-1),(RANK(H295,H$11:H$343)+COUNTIF(H$11:H295,H295)-1)))</f>
        <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f>HLOOKUP($AX$9&amp;$AX$10,Data!$A$1:$ZZ$1980,(MATCH($C295,Data!$A$1:$A$1980,0)),FALSE)</f>
        <v>347</v>
      </c>
    </row>
    <row r="296" spans="1:50">
      <c r="A296" s="59" t="str">
        <f>$D$1&amp;286</f>
        <v>UA286</v>
      </c>
      <c r="B296" s="60">
        <f>IF(ISERROR(VLOOKUP(A304,classifications!A:C,3,FALSE)),0,VLOOKUP(A304,classifications!A:C,3,FALSE))</f>
        <v>0</v>
      </c>
      <c r="C296" t="s">
        <v>815</v>
      </c>
      <c r="D296" t="str">
        <f>VLOOKUP($C296,classifications!$C:$J,4,FALSE)</f>
        <v>UA</v>
      </c>
      <c r="E296">
        <f>VLOOKUP(C296,classifications!C:K,9,FALSE)</f>
        <v>0</v>
      </c>
      <c r="F296">
        <f t="shared" si="129"/>
        <v>529.29999999999995</v>
      </c>
      <c r="G296" s="15"/>
      <c r="H296" s="42">
        <f t="shared" si="130"/>
        <v>529.29999999999995</v>
      </c>
      <c r="I296" s="79">
        <f>IF(H296="","",IF($I$8="A",(RANK(H296,H$11:H$343,1)+COUNTIF(H$11:H296,H296)-1),(RANK(H296,H$11:H$343)+COUNTIF(H$11:H296,H296)-1)))</f>
        <v>30</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529.29999999999995</v>
      </c>
    </row>
    <row r="297" spans="1:50">
      <c r="A297" s="59" t="str">
        <f>$D$1&amp;287</f>
        <v>UA287</v>
      </c>
      <c r="B297" s="60">
        <f>IF(ISERROR(VLOOKUP(A305,classifications!A:C,3,FALSE)),0,VLOOKUP(A305,classifications!A:C,3,FALSE))</f>
        <v>0</v>
      </c>
      <c r="C297" t="s">
        <v>166</v>
      </c>
      <c r="D297" t="str">
        <f>VLOOKUP($C297,classifications!$C:$J,4,FALSE)</f>
        <v>SD</v>
      </c>
      <c r="E297">
        <f>VLOOKUP(C297,classifications!C:K,9,FALSE)</f>
        <v>0</v>
      </c>
      <c r="F297">
        <f t="shared" si="129"/>
        <v>419.6</v>
      </c>
      <c r="G297" s="15"/>
      <c r="H297" s="42" t="str">
        <f t="shared" si="130"/>
        <v/>
      </c>
      <c r="I297" s="79" t="str">
        <f>IF(H297="","",IF($I$8="A",(RANK(H297,H$11:H$343,1)+COUNTIF(H$11:H297,H297)-1),(RANK(H297,H$11:H$343)+COUNTIF(H$11:H297,H297)-1)))</f>
        <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f>HLOOKUP($AX$9&amp;$AX$10,Data!$A$1:$ZZ$1980,(MATCH($C297,Data!$A$1:$A$1980,0)),FALSE)</f>
        <v>419.6</v>
      </c>
    </row>
    <row r="298" spans="1:50">
      <c r="A298" s="59" t="str">
        <f>$D$1&amp;288</f>
        <v>UA288</v>
      </c>
      <c r="B298" s="60">
        <f>IF(ISERROR(VLOOKUP(A306,classifications!A:C,3,FALSE)),0,VLOOKUP(A306,classifications!A:C,3,FALSE))</f>
        <v>0</v>
      </c>
      <c r="C298" t="s">
        <v>167</v>
      </c>
      <c r="D298" t="str">
        <f>VLOOKUP($C298,classifications!$C:$J,4,FALSE)</f>
        <v>SD</v>
      </c>
      <c r="E298">
        <f>VLOOKUP(C298,classifications!C:K,9,FALSE)</f>
        <v>0</v>
      </c>
      <c r="F298">
        <f t="shared" si="129"/>
        <v>472.2</v>
      </c>
      <c r="G298" s="15"/>
      <c r="H298" s="42" t="str">
        <f t="shared" si="130"/>
        <v/>
      </c>
      <c r="I298" s="79" t="str">
        <f>IF(H298="","",IF($I$8="A",(RANK(H298,H$11:H$343,1)+COUNTIF(H$11:H298,H298)-1),(RANK(H298,H$11:H$343)+COUNTIF(H$11:H298,H298)-1)))</f>
        <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f>HLOOKUP($AX$9&amp;$AX$10,Data!$A$1:$ZZ$1980,(MATCH($C298,Data!$A$1:$A$1980,0)),FALSE)</f>
        <v>472.2</v>
      </c>
    </row>
    <row r="299" spans="1:50">
      <c r="A299" s="59" t="str">
        <f>$D$1&amp;289</f>
        <v>UA289</v>
      </c>
      <c r="B299" s="60">
        <f>IF(ISERROR(VLOOKUP(A307,classifications!A:C,3,FALSE)),0,VLOOKUP(A307,classifications!A:C,3,FALSE))</f>
        <v>0</v>
      </c>
      <c r="C299" t="s">
        <v>168</v>
      </c>
      <c r="D299" t="str">
        <f>VLOOKUP($C299,classifications!$C:$J,4,FALSE)</f>
        <v>SD</v>
      </c>
      <c r="E299" t="str">
        <f>VLOOKUP(C299,classifications!C:K,9,FALSE)</f>
        <v>Sparse</v>
      </c>
      <c r="F299">
        <f t="shared" si="129"/>
        <v>388.9</v>
      </c>
      <c r="G299" s="15"/>
      <c r="H299" s="42" t="str">
        <f t="shared" si="130"/>
        <v/>
      </c>
      <c r="I299" s="79" t="str">
        <f>IF(H299="","",IF($I$8="A",(RANK(H299,H$11:H$343,1)+COUNTIF(H$11:H299,H299)-1),(RANK(H299,H$11:H$343)+COUNTIF(H$11:H299,H299)-1)))</f>
        <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f>HLOOKUP($AX$9&amp;$AX$10,Data!$A$1:$ZZ$1980,(MATCH($C299,Data!$A$1:$A$1980,0)),FALSE)</f>
        <v>388.9</v>
      </c>
    </row>
    <row r="300" spans="1:50">
      <c r="A300" s="59" t="str">
        <f>$D$1&amp;290</f>
        <v>UA290</v>
      </c>
      <c r="B300" s="60">
        <f>IF(ISERROR(VLOOKUP(A308,classifications!A:C,3,FALSE)),0,VLOOKUP(A308,classifications!A:C,3,FALSE))</f>
        <v>0</v>
      </c>
      <c r="C300" t="s">
        <v>169</v>
      </c>
      <c r="D300" t="str">
        <f>VLOOKUP($C300,classifications!$C:$J,4,FALSE)</f>
        <v>SD</v>
      </c>
      <c r="E300">
        <f>VLOOKUP(C300,classifications!C:K,9,FALSE)</f>
        <v>0</v>
      </c>
      <c r="F300">
        <f t="shared" si="129"/>
        <v>461.3</v>
      </c>
      <c r="G300" s="15"/>
      <c r="H300" s="42" t="str">
        <f t="shared" si="130"/>
        <v/>
      </c>
      <c r="I300" s="79" t="str">
        <f>IF(H300="","",IF($I$8="A",(RANK(H300,H$11:H$343,1)+COUNTIF(H$11:H300,H300)-1),(RANK(H300,H$11:H$343)+COUNTIF(H$11:H300,H300)-1)))</f>
        <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f>HLOOKUP($AX$9&amp;$AX$10,Data!$A$1:$ZZ$1980,(MATCH($C300,Data!$A$1:$A$1980,0)),FALSE)</f>
        <v>461.3</v>
      </c>
    </row>
    <row r="301" spans="1:50">
      <c r="A301" s="59" t="str">
        <f>$D$1&amp;291</f>
        <v>UA291</v>
      </c>
      <c r="B301" s="60">
        <f>IF(ISERROR(VLOOKUP(A309,classifications!A:C,3,FALSE)),0,VLOOKUP(A309,classifications!A:C,3,FALSE))</f>
        <v>0</v>
      </c>
      <c r="C301" t="s">
        <v>170</v>
      </c>
      <c r="D301" t="str">
        <f>VLOOKUP($C301,classifications!$C:$J,4,FALSE)</f>
        <v>SD</v>
      </c>
      <c r="E301">
        <f>VLOOKUP(C301,classifications!C:K,9,FALSE)</f>
        <v>0</v>
      </c>
      <c r="F301">
        <f t="shared" si="129"/>
        <v>318.2</v>
      </c>
      <c r="G301" s="15"/>
      <c r="H301" s="42" t="str">
        <f t="shared" si="130"/>
        <v/>
      </c>
      <c r="I301" s="79" t="str">
        <f>IF(H301="","",IF($I$8="A",(RANK(H301,H$11:H$343,1)+COUNTIF(H$11:H301,H301)-1),(RANK(H301,H$11:H$343)+COUNTIF(H$11:H301,H301)-1)))</f>
        <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f>HLOOKUP($AX$9&amp;$AX$10,Data!$A$1:$ZZ$1980,(MATCH($C301,Data!$A$1:$A$1980,0)),FALSE)</f>
        <v>318.2</v>
      </c>
    </row>
    <row r="302" spans="1:50">
      <c r="A302" s="59" t="str">
        <f>$D$1&amp;292</f>
        <v>UA292</v>
      </c>
      <c r="B302" s="60">
        <f>IF(ISERROR(VLOOKUP(A310,classifications!A:C,3,FALSE)),0,VLOOKUP(A310,classifications!A:C,3,FALSE))</f>
        <v>0</v>
      </c>
      <c r="C302" t="s">
        <v>294</v>
      </c>
      <c r="D302" t="str">
        <f>VLOOKUP($C302,classifications!$C:$J,4,FALSE)</f>
        <v>UA</v>
      </c>
      <c r="E302">
        <f>VLOOKUP(C302,classifications!C:K,9,FALSE)</f>
        <v>0</v>
      </c>
      <c r="F302">
        <f t="shared" si="129"/>
        <v>698.2</v>
      </c>
      <c r="G302" s="15"/>
      <c r="H302" s="42">
        <f t="shared" si="130"/>
        <v>698.2</v>
      </c>
      <c r="I302" s="79">
        <f>IF(H302="","",IF($I$8="A",(RANK(H302,H$11:H$343,1)+COUNTIF(H$11:H302,H302)-1),(RANK(H302,H$11:H$343)+COUNTIF(H$11:H302,H302)-1)))</f>
        <v>57</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698.2</v>
      </c>
    </row>
    <row r="303" spans="1:50">
      <c r="A303" s="59" t="str">
        <f>$D$1&amp;293</f>
        <v>UA293</v>
      </c>
      <c r="B303" s="60">
        <f>IF(ISERROR(VLOOKUP(A311,classifications!A:C,3,FALSE)),0,VLOOKUP(A311,classifications!A:C,3,FALSE))</f>
        <v>0</v>
      </c>
      <c r="C303" t="s">
        <v>351</v>
      </c>
      <c r="D303" t="str">
        <f>VLOOKUP($C303,classifications!$C:$J,4,FALSE)</f>
        <v>SD</v>
      </c>
      <c r="E303">
        <f>VLOOKUP(C303,classifications!C:K,9,FALSE)</f>
        <v>0</v>
      </c>
      <c r="F303">
        <f t="shared" si="129"/>
        <v>456.6</v>
      </c>
      <c r="G303" s="15"/>
      <c r="H303" s="42" t="str">
        <f t="shared" si="130"/>
        <v/>
      </c>
      <c r="I303" s="79" t="str">
        <f>IF(H303="","",IF($I$8="A",(RANK(H303,H$11:H$343,1)+COUNTIF(H$11:H303,H303)-1),(RANK(H303,H$11:H$343)+COUNTIF(H$11:H303,H303)-1)))</f>
        <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f>HLOOKUP($AX$9&amp;$AX$10,Data!$A$1:$ZZ$1980,(MATCH($C303,Data!$A$1:$A$1980,0)),FALSE)</f>
        <v>456.6</v>
      </c>
    </row>
    <row r="304" spans="1:50">
      <c r="A304" s="59" t="str">
        <f>$D$1&amp;294</f>
        <v>UA294</v>
      </c>
      <c r="B304" s="60">
        <f>IF(ISERROR(VLOOKUP(A312,classifications!A:C,3,FALSE)),0,VLOOKUP(A312,classifications!A:C,3,FALSE))</f>
        <v>0</v>
      </c>
      <c r="C304" t="s">
        <v>295</v>
      </c>
      <c r="D304" t="str">
        <f>VLOOKUP($C304,classifications!$C:$J,4,FALSE)</f>
        <v>UA</v>
      </c>
      <c r="E304">
        <f>VLOOKUP(C304,classifications!C:K,9,FALSE)</f>
        <v>0</v>
      </c>
      <c r="F304">
        <f t="shared" si="129"/>
        <v>497</v>
      </c>
      <c r="G304" s="15"/>
      <c r="H304" s="42">
        <f t="shared" si="130"/>
        <v>497</v>
      </c>
      <c r="I304" s="79">
        <f>IF(H304="","",IF($I$8="A",(RANK(H304,H$11:H$343,1)+COUNTIF(H$11:H304,H304)-1),(RANK(H304,H$11:H$343)+COUNTIF(H$11:H304,H304)-1)))</f>
        <v>21</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497</v>
      </c>
    </row>
    <row r="305" spans="1:50">
      <c r="A305" s="59" t="str">
        <f>$D$1&amp;295</f>
        <v>UA295</v>
      </c>
      <c r="B305" s="60">
        <f>IF(ISERROR(VLOOKUP(A313,classifications!A:C,3,FALSE)),0,VLOOKUP(A313,classifications!A:C,3,FALSE))</f>
        <v>0</v>
      </c>
      <c r="C305" t="s">
        <v>171</v>
      </c>
      <c r="D305" t="str">
        <f>VLOOKUP($C305,classifications!$C:$J,4,FALSE)</f>
        <v>SD</v>
      </c>
      <c r="E305" t="str">
        <f>VLOOKUP(C305,classifications!C:K,9,FALSE)</f>
        <v>Sparse</v>
      </c>
      <c r="F305">
        <f t="shared" si="129"/>
        <v>329.8</v>
      </c>
      <c r="G305" s="15"/>
      <c r="H305" s="42" t="str">
        <f t="shared" si="130"/>
        <v/>
      </c>
      <c r="I305" s="79" t="str">
        <f>IF(H305="","",IF($I$8="A",(RANK(H305,H$11:H$343,1)+COUNTIF(H$11:H305,H305)-1),(RANK(H305,H$11:H$343)+COUNTIF(H$11:H305,H305)-1)))</f>
        <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f>HLOOKUP($AX$9&amp;$AX$10,Data!$A$1:$ZZ$1980,(MATCH($C305,Data!$A$1:$A$1980,0)),FALSE)</f>
        <v>329.8</v>
      </c>
    </row>
    <row r="306" spans="1:50">
      <c r="A306" s="59" t="str">
        <f>$D$1&amp;296</f>
        <v>UA296</v>
      </c>
      <c r="B306" s="60">
        <f>IF(ISERROR(VLOOKUP(A314,classifications!A:C,3,FALSE)),0,VLOOKUP(A314,classifications!A:C,3,FALSE))</f>
        <v>0</v>
      </c>
      <c r="C306" t="s">
        <v>220</v>
      </c>
      <c r="D306" t="str">
        <f>VLOOKUP($C306,classifications!$C:$J,4,FALSE)</f>
        <v>L</v>
      </c>
      <c r="E306">
        <f>VLOOKUP(C306,classifications!C:K,9,FALSE)</f>
        <v>0</v>
      </c>
      <c r="F306">
        <f t="shared" si="129"/>
        <v>522.79999999999995</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522.79999999999995</v>
      </c>
    </row>
    <row r="307" spans="1:50">
      <c r="A307" s="59" t="str">
        <f>$D$1&amp;297</f>
        <v>UA297</v>
      </c>
      <c r="B307" s="60">
        <f>IF(ISERROR(VLOOKUP(A315,classifications!A:C,3,FALSE)),0,VLOOKUP(A315,classifications!A:C,3,FALSE))</f>
        <v>0</v>
      </c>
      <c r="C307" t="s">
        <v>253</v>
      </c>
      <c r="D307" t="str">
        <f>VLOOKUP($C307,classifications!$C:$J,4,FALSE)</f>
        <v>MD</v>
      </c>
      <c r="E307">
        <f>VLOOKUP(C307,classifications!C:K,9,FALSE)</f>
        <v>0</v>
      </c>
      <c r="F307">
        <f t="shared" si="129"/>
        <v>305.2</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f>HLOOKUP($AX$9&amp;$AX$10,Data!$A$1:$ZZ$1980,(MATCH($C307,Data!$A$1:$A$1980,0)),FALSE)</f>
        <v>305.2</v>
      </c>
    </row>
    <row r="308" spans="1:50">
      <c r="A308" s="59" t="str">
        <f>$D$1&amp;298</f>
        <v>UA298</v>
      </c>
      <c r="B308" s="60">
        <f>IF(ISERROR(VLOOKUP(A316,classifications!A:C,3,FALSE)),0,VLOOKUP(A316,classifications!A:C,3,FALSE))</f>
        <v>0</v>
      </c>
      <c r="C308" t="s">
        <v>172</v>
      </c>
      <c r="D308" t="str">
        <f>VLOOKUP($C308,classifications!$C:$J,4,FALSE)</f>
        <v>SD</v>
      </c>
      <c r="E308">
        <f>VLOOKUP(C308,classifications!C:K,9,FALSE)</f>
        <v>0</v>
      </c>
      <c r="F308">
        <f t="shared" si="129"/>
        <v>408.1</v>
      </c>
      <c r="G308" s="15"/>
      <c r="H308" s="42" t="str">
        <f t="shared" si="130"/>
        <v/>
      </c>
      <c r="I308" s="79" t="str">
        <f>IF(H308="","",IF($I$8="A",(RANK(H308,H$11:H$343,1)+COUNTIF(H$11:H308,H308)-1),(RANK(H308,H$11:H$343)+COUNTIF(H$11:H308,H308)-1)))</f>
        <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f>HLOOKUP($AX$9&amp;$AX$10,Data!$A$1:$ZZ$1980,(MATCH($C308,Data!$A$1:$A$1980,0)),FALSE)</f>
        <v>408.1</v>
      </c>
    </row>
    <row r="309" spans="1:50">
      <c r="A309" s="59" t="str">
        <f>$D$1&amp;299</f>
        <v>UA299</v>
      </c>
      <c r="B309" s="60">
        <f>IF(ISERROR(VLOOKUP(A317,classifications!A:C,3,FALSE)),0,VLOOKUP(A317,classifications!A:C,3,FALSE))</f>
        <v>0</v>
      </c>
      <c r="C309" t="s">
        <v>173</v>
      </c>
      <c r="D309" t="str">
        <f>VLOOKUP($C309,classifications!$C:$J,4,FALSE)</f>
        <v>SD</v>
      </c>
      <c r="E309" t="str">
        <f>VLOOKUP(C309,classifications!C:K,9,FALSE)</f>
        <v>Sparse</v>
      </c>
      <c r="F309">
        <f t="shared" si="129"/>
        <v>425.9</v>
      </c>
      <c r="G309" s="15"/>
      <c r="H309" s="42" t="str">
        <f t="shared" si="130"/>
        <v/>
      </c>
      <c r="I309" s="79" t="str">
        <f>IF(H309="","",IF($I$8="A",(RANK(H309,H$11:H$343,1)+COUNTIF(H$11:H309,H309)-1),(RANK(H309,H$11:H$343)+COUNTIF(H$11:H309,H309)-1)))</f>
        <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f>HLOOKUP($AX$9&amp;$AX$10,Data!$A$1:$ZZ$1980,(MATCH($C309,Data!$A$1:$A$1980,0)),FALSE)</f>
        <v>425.9</v>
      </c>
    </row>
    <row r="310" spans="1:50">
      <c r="A310" s="59" t="str">
        <f>$D$1&amp;300</f>
        <v>UA300</v>
      </c>
      <c r="B310" s="60">
        <f>IF(ISERROR(VLOOKUP(A318,classifications!A:C,3,FALSE)),0,VLOOKUP(A318,classifications!A:C,3,FALSE))</f>
        <v>0</v>
      </c>
      <c r="C310" t="s">
        <v>174</v>
      </c>
      <c r="D310" t="str">
        <f>VLOOKUP($C310,classifications!$C:$J,4,FALSE)</f>
        <v>SD</v>
      </c>
      <c r="E310" t="str">
        <f>VLOOKUP(C310,classifications!C:K,9,FALSE)</f>
        <v>Sparse</v>
      </c>
      <c r="F310">
        <f t="shared" si="129"/>
        <v>292.89999999999998</v>
      </c>
      <c r="G310" s="15"/>
      <c r="H310" s="42" t="str">
        <f t="shared" si="130"/>
        <v/>
      </c>
      <c r="I310" s="79" t="str">
        <f>IF(H310="","",IF($I$8="A",(RANK(H310,H$11:H$343,1)+COUNTIF(H$11:H310,H310)-1),(RANK(H310,H$11:H$343)+COUNTIF(H$11:H310,H310)-1)))</f>
        <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f>HLOOKUP($AX$9&amp;$AX$10,Data!$A$1:$ZZ$1980,(MATCH($C310,Data!$A$1:$A$1980,0)),FALSE)</f>
        <v>292.89999999999998</v>
      </c>
    </row>
    <row r="311" spans="1:50">
      <c r="A311" s="59" t="str">
        <f>$D$1&amp;301</f>
        <v>UA301</v>
      </c>
      <c r="B311" s="60">
        <f>IF(ISERROR(VLOOKUP(A319,classifications!A:C,3,FALSE)),0,VLOOKUP(A319,classifications!A:C,3,FALSE))</f>
        <v>0</v>
      </c>
      <c r="C311" t="s">
        <v>254</v>
      </c>
      <c r="D311" t="str">
        <f>VLOOKUP($C311,classifications!$C:$J,4,FALSE)</f>
        <v>MD</v>
      </c>
      <c r="E311">
        <f>VLOOKUP(C311,classifications!C:K,9,FALSE)</f>
        <v>0</v>
      </c>
      <c r="F311">
        <f t="shared" si="129"/>
        <v>483.5</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483.5</v>
      </c>
    </row>
    <row r="312" spans="1:50">
      <c r="A312" s="59" t="str">
        <f>$D$1&amp;302</f>
        <v>UA302</v>
      </c>
      <c r="B312" s="60">
        <f>IF(ISERROR(VLOOKUP(A320,classifications!A:C,3,FALSE)),0,VLOOKUP(A320,classifications!A:C,3,FALSE))</f>
        <v>0</v>
      </c>
      <c r="C312" t="s">
        <v>255</v>
      </c>
      <c r="D312" t="str">
        <f>VLOOKUP($C312,classifications!$C:$J,4,FALSE)</f>
        <v>MD</v>
      </c>
      <c r="E312">
        <f>VLOOKUP(C312,classifications!C:K,9,FALSE)</f>
        <v>0</v>
      </c>
      <c r="F312">
        <f t="shared" si="129"/>
        <v>620.79999999999995</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620.79999999999995</v>
      </c>
    </row>
    <row r="313" spans="1:50">
      <c r="A313" s="59" t="str">
        <f>$D$1&amp;303</f>
        <v>UA303</v>
      </c>
      <c r="B313" s="60">
        <f>IF(ISERROR(VLOOKUP(A321,classifications!A:C,3,FALSE)),0,VLOOKUP(A321,classifications!A:C,3,FALSE))</f>
        <v>0</v>
      </c>
      <c r="C313" t="s">
        <v>221</v>
      </c>
      <c r="D313" t="str">
        <f>VLOOKUP($C313,classifications!$C:$J,4,FALSE)</f>
        <v>L</v>
      </c>
      <c r="E313">
        <f>VLOOKUP(C313,classifications!C:K,9,FALSE)</f>
        <v>0</v>
      </c>
      <c r="F313">
        <f t="shared" si="129"/>
        <v>550.1</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f>HLOOKUP($AX$9&amp;$AX$10,Data!$A$1:$ZZ$1980,(MATCH($C313,Data!$A$1:$A$1980,0)),FALSE)</f>
        <v>550.1</v>
      </c>
    </row>
    <row r="314" spans="1:50">
      <c r="A314" s="59" t="str">
        <f>$D$1&amp;304</f>
        <v>UA304</v>
      </c>
      <c r="B314" s="60">
        <f>IF(ISERROR(VLOOKUP(A322,classifications!A:C,3,FALSE)),0,VLOOKUP(A322,classifications!A:C,3,FALSE))</f>
        <v>0</v>
      </c>
      <c r="C314" t="s">
        <v>222</v>
      </c>
      <c r="D314" t="str">
        <f>VLOOKUP($C314,classifications!$C:$J,4,FALSE)</f>
        <v>L</v>
      </c>
      <c r="E314">
        <f>VLOOKUP(C314,classifications!C:K,9,FALSE)</f>
        <v>0</v>
      </c>
      <c r="F314">
        <f t="shared" si="129"/>
        <v>476.1</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f>HLOOKUP($AX$9&amp;$AX$10,Data!$A$1:$ZZ$1980,(MATCH($C314,Data!$A$1:$A$1980,0)),FALSE)</f>
        <v>476.1</v>
      </c>
    </row>
    <row r="315" spans="1:50">
      <c r="A315" s="59" t="str">
        <f>$D$1&amp;305</f>
        <v>UA305</v>
      </c>
      <c r="B315" s="60">
        <f>IF(ISERROR(VLOOKUP(A323,classifications!A:C,3,FALSE)),0,VLOOKUP(A323,classifications!A:C,3,FALSE))</f>
        <v>0</v>
      </c>
      <c r="C315" t="s">
        <v>296</v>
      </c>
      <c r="D315" t="str">
        <f>VLOOKUP($C315,classifications!$C:$J,4,FALSE)</f>
        <v>UA</v>
      </c>
      <c r="E315">
        <f>VLOOKUP(C315,classifications!C:K,9,FALSE)</f>
        <v>0</v>
      </c>
      <c r="F315">
        <f t="shared" si="129"/>
        <v>517.6</v>
      </c>
      <c r="G315" s="15"/>
      <c r="H315" s="42">
        <f t="shared" si="130"/>
        <v>517.6</v>
      </c>
      <c r="I315" s="79">
        <f>IF(H315="","",IF($I$8="A",(RANK(H315,H$11:H$343,1)+COUNTIF(H$11:H315,H315)-1),(RANK(H315,H$11:H$343)+COUNTIF(H$11:H315,H315)-1)))</f>
        <v>26</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517.6</v>
      </c>
    </row>
    <row r="316" spans="1:50">
      <c r="A316" s="59" t="str">
        <f>$D$1&amp;306</f>
        <v>UA306</v>
      </c>
      <c r="B316" s="60">
        <f>IF(ISERROR(VLOOKUP(A324,classifications!A:C,3,FALSE)),0,VLOOKUP(A324,classifications!A:C,3,FALSE))</f>
        <v>0</v>
      </c>
      <c r="C316" t="s">
        <v>175</v>
      </c>
      <c r="D316" t="str">
        <f>VLOOKUP($C316,classifications!$C:$J,4,FALSE)</f>
        <v>SD</v>
      </c>
      <c r="E316">
        <f>VLOOKUP(C316,classifications!C:K,9,FALSE)</f>
        <v>0</v>
      </c>
      <c r="F316">
        <f t="shared" si="129"/>
        <v>359.9</v>
      </c>
      <c r="G316" s="15"/>
      <c r="H316" s="42" t="str">
        <f t="shared" si="130"/>
        <v/>
      </c>
      <c r="I316" s="79" t="str">
        <f>IF(H316="","",IF($I$8="A",(RANK(H316,H$11:H$343,1)+COUNTIF(H$11:H316,H316)-1),(RANK(H316,H$11:H$343)+COUNTIF(H$11:H316,H316)-1)))</f>
        <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f>HLOOKUP($AX$9&amp;$AX$10,Data!$A$1:$ZZ$1980,(MATCH($C316,Data!$A$1:$A$1980,0)),FALSE)</f>
        <v>359.9</v>
      </c>
    </row>
    <row r="317" spans="1:50">
      <c r="A317" s="59" t="str">
        <f>$D$1&amp;307</f>
        <v>UA307</v>
      </c>
      <c r="B317" s="60">
        <f>IF(ISERROR(VLOOKUP(A325,classifications!A:C,3,FALSE)),0,VLOOKUP(A325,classifications!A:C,3,FALSE))</f>
        <v>0</v>
      </c>
      <c r="C317" t="s">
        <v>331</v>
      </c>
      <c r="D317" t="str">
        <f>VLOOKUP($C317,classifications!$C:$J,4,FALSE)</f>
        <v>SC</v>
      </c>
      <c r="E317">
        <f>VLOOKUP(C317,classifications!C:K,9,FALSE)</f>
        <v>0</v>
      </c>
      <c r="F317">
        <f t="shared" si="129"/>
        <v>449.8</v>
      </c>
      <c r="G317" s="15"/>
      <c r="H317" s="42" t="str">
        <f t="shared" si="130"/>
        <v/>
      </c>
      <c r="I317" s="79" t="str">
        <f>IF(H317="","",IF($I$8="A",(RANK(H317,H$11:H$343,1)+COUNTIF(H$11:H317,H317)-1),(RANK(H317,H$11:H$343)+COUNTIF(H$11:H317,H317)-1)))</f>
        <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449.8</v>
      </c>
    </row>
    <row r="318" spans="1:50">
      <c r="A318" s="59" t="str">
        <f>$D$1&amp;308</f>
        <v>UA308</v>
      </c>
      <c r="B318" s="60">
        <f>IF(ISERROR(VLOOKUP(A326,classifications!A:C,3,FALSE)),0,VLOOKUP(A326,classifications!A:C,3,FALSE))</f>
        <v>0</v>
      </c>
      <c r="C318" t="s">
        <v>176</v>
      </c>
      <c r="D318" t="str">
        <f>VLOOKUP($C318,classifications!$C:$J,4,FALSE)</f>
        <v>SD</v>
      </c>
      <c r="E318">
        <f>VLOOKUP(C318,classifications!C:K,9,FALSE)</f>
        <v>0</v>
      </c>
      <c r="F318">
        <f t="shared" si="129"/>
        <v>373</v>
      </c>
      <c r="G318" s="15"/>
      <c r="H318" s="42" t="str">
        <f t="shared" si="130"/>
        <v/>
      </c>
      <c r="I318" s="79" t="str">
        <f>IF(H318="","",IF($I$8="A",(RANK(H318,H$11:H$343,1)+COUNTIF(H$11:H318,H318)-1),(RANK(H318,H$11:H$343)+COUNTIF(H$11:H318,H318)-1)))</f>
        <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f>HLOOKUP($AX$9&amp;$AX$10,Data!$A$1:$ZZ$1980,(MATCH($C318,Data!$A$1:$A$1980,0)),FALSE)</f>
        <v>373</v>
      </c>
    </row>
    <row r="319" spans="1:50">
      <c r="A319" s="59" t="str">
        <f>$D$1&amp;309</f>
        <v>UA309</v>
      </c>
      <c r="B319" s="60">
        <f>IF(ISERROR(VLOOKUP(A327,classifications!A:C,3,FALSE)),0,VLOOKUP(A327,classifications!A:C,3,FALSE))</f>
        <v>0</v>
      </c>
      <c r="C319" t="s">
        <v>178</v>
      </c>
      <c r="D319" t="str">
        <f>VLOOKUP($C319,classifications!$C:$J,4,FALSE)</f>
        <v>SD</v>
      </c>
      <c r="E319">
        <f>VLOOKUP(C319,classifications!C:K,9,FALSE)</f>
        <v>0</v>
      </c>
      <c r="F319">
        <f t="shared" si="129"/>
        <v>337.4</v>
      </c>
      <c r="G319" s="15"/>
      <c r="H319" s="42" t="str">
        <f t="shared" si="130"/>
        <v/>
      </c>
      <c r="I319" s="79" t="str">
        <f>IF(H319="","",IF($I$8="A",(RANK(H319,H$11:H$343,1)+COUNTIF(H$11:H319,H319)-1),(RANK(H319,H$11:H$343)+COUNTIF(H$11:H319,H319)-1)))</f>
        <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f>HLOOKUP($AX$9&amp;$AX$10,Data!$A$1:$ZZ$1980,(MATCH($C319,Data!$A$1:$A$1980,0)),FALSE)</f>
        <v>337.4</v>
      </c>
    </row>
    <row r="320" spans="1:50">
      <c r="A320" s="59" t="str">
        <f>$D$1&amp;310</f>
        <v>UA310</v>
      </c>
      <c r="B320" s="60">
        <f>IF(ISERROR(VLOOKUP(A328,classifications!A:C,3,FALSE)),0,VLOOKUP(A328,classifications!A:C,3,FALSE))</f>
        <v>0</v>
      </c>
      <c r="C320" t="s">
        <v>179</v>
      </c>
      <c r="D320" t="str">
        <f>VLOOKUP($C320,classifications!$C:$J,4,FALSE)</f>
        <v>SD</v>
      </c>
      <c r="E320" t="str">
        <f>VLOOKUP(C320,classifications!C:K,9,FALSE)</f>
        <v>Sparse</v>
      </c>
      <c r="F320">
        <f t="shared" si="129"/>
        <v>418.1</v>
      </c>
      <c r="G320" s="15"/>
      <c r="H320" s="42" t="str">
        <f t="shared" si="130"/>
        <v/>
      </c>
      <c r="I320" s="79" t="str">
        <f>IF(H320="","",IF($I$8="A",(RANK(H320,H$11:H$343,1)+COUNTIF(H$11:H320,H320)-1),(RANK(H320,H$11:H$343)+COUNTIF(H$11:H320,H320)-1)))</f>
        <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f>HLOOKUP($AX$9&amp;$AX$10,Data!$A$1:$ZZ$1980,(MATCH($C320,Data!$A$1:$A$1980,0)),FALSE)</f>
        <v>418.1</v>
      </c>
    </row>
    <row r="321" spans="1:50">
      <c r="A321" s="59" t="str">
        <f>$D$1&amp;311</f>
        <v>UA311</v>
      </c>
      <c r="B321" s="60">
        <f>IF(ISERROR(VLOOKUP(A330,classifications!A:C,3,FALSE)),0,VLOOKUP(A330,classifications!A:C,3,FALSE))</f>
        <v>0</v>
      </c>
      <c r="C321" t="s">
        <v>181</v>
      </c>
      <c r="D321" t="str">
        <f>VLOOKUP($C321,classifications!$C:$J,4,FALSE)</f>
        <v>SD</v>
      </c>
      <c r="E321">
        <f>VLOOKUP(C321,classifications!C:K,9,FALSE)</f>
        <v>0</v>
      </c>
      <c r="F321">
        <f t="shared" si="129"/>
        <v>396.4</v>
      </c>
      <c r="G321" s="15"/>
      <c r="H321" s="42" t="str">
        <f t="shared" si="130"/>
        <v/>
      </c>
      <c r="I321" s="79" t="str">
        <f>IF(H321="","",IF($I$8="A",(RANK(H321,H$11:H$343,1)+COUNTIF(H$11:H321,H321)-1),(RANK(H321,H$11:H$343)+COUNTIF(H$11:H321,H321)-1)))</f>
        <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f>HLOOKUP($AX$9&amp;$AX$10,Data!$A$1:$ZZ$1980,(MATCH($C321,Data!$A$1:$A$1980,0)),FALSE)</f>
        <v>396.4</v>
      </c>
    </row>
    <row r="322" spans="1:50">
      <c r="A322" s="59" t="str">
        <f>$D$1&amp;312</f>
        <v>UA312</v>
      </c>
      <c r="B322" s="60">
        <f>IF(ISERROR(VLOOKUP(A331,classifications!A:C,3,FALSE)),0,VLOOKUP(A331,classifications!A:C,3,FALSE))</f>
        <v>0</v>
      </c>
      <c r="C322" t="s">
        <v>297</v>
      </c>
      <c r="D322" t="str">
        <f>VLOOKUP($C322,classifications!$C:$J,4,FALSE)</f>
        <v>UA</v>
      </c>
      <c r="E322">
        <f>VLOOKUP(C322,classifications!C:K,9,FALSE)</f>
        <v>0</v>
      </c>
      <c r="F322">
        <f t="shared" si="129"/>
        <v>489.4</v>
      </c>
      <c r="G322" s="15"/>
      <c r="H322" s="42">
        <f t="shared" si="130"/>
        <v>489.4</v>
      </c>
      <c r="I322" s="79">
        <f>IF(H322="","",IF($I$8="A",(RANK(H322,H$11:H$343,1)+COUNTIF(H$11:H322,H322)-1),(RANK(H322,H$11:H$343)+COUNTIF(H$11:H322,H322)-1)))</f>
        <v>19</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489.4</v>
      </c>
    </row>
    <row r="323" spans="1:50">
      <c r="A323" s="59" t="str">
        <f>$D$1&amp;313</f>
        <v>UA313</v>
      </c>
      <c r="B323" s="60">
        <f>IF(ISERROR(VLOOKUP(A332,classifications!A:C,3,FALSE)),0,VLOOKUP(A332,classifications!A:C,3,FALSE))</f>
        <v>0</v>
      </c>
      <c r="C323" t="s">
        <v>182</v>
      </c>
      <c r="D323" t="str">
        <f>VLOOKUP($C323,classifications!$C:$J,4,FALSE)</f>
        <v>SD</v>
      </c>
      <c r="E323" t="str">
        <f>VLOOKUP(C323,classifications!C:K,9,FALSE)</f>
        <v>Sparse</v>
      </c>
      <c r="F323">
        <f t="shared" si="129"/>
        <v>307.8</v>
      </c>
      <c r="G323" s="15"/>
      <c r="H323" s="42" t="str">
        <f t="shared" si="130"/>
        <v/>
      </c>
      <c r="I323" s="79" t="str">
        <f>IF(H323="","",IF($I$8="A",(RANK(H323,H$11:H$343,1)+COUNTIF(H$11:H323,H323)-1),(RANK(H323,H$11:H$343)+COUNTIF(H$11:H323,H323)-1)))</f>
        <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f>HLOOKUP($AX$9&amp;$AX$10,Data!$A$1:$ZZ$1980,(MATCH($C323,Data!$A$1:$A$1980,0)),FALSE)</f>
        <v>307.8</v>
      </c>
    </row>
    <row r="324" spans="1:50">
      <c r="A324" s="59" t="str">
        <f>$D$1&amp;314</f>
        <v>UA314</v>
      </c>
      <c r="B324" s="60">
        <f>IF(ISERROR(VLOOKUP(A333,classifications!A:C,3,FALSE)),0,VLOOKUP(A333,classifications!A:C,3,FALSE))</f>
        <v>0</v>
      </c>
      <c r="C324" t="s">
        <v>184</v>
      </c>
      <c r="D324" t="str">
        <f>VLOOKUP($C324,classifications!$C:$J,4,FALSE)</f>
        <v>SD</v>
      </c>
      <c r="E324">
        <f>VLOOKUP(C324,classifications!C:K,9,FALSE)</f>
        <v>0</v>
      </c>
      <c r="F324">
        <f t="shared" si="129"/>
        <v>496.9</v>
      </c>
      <c r="G324" s="15"/>
      <c r="H324" s="42" t="str">
        <f t="shared" si="130"/>
        <v/>
      </c>
      <c r="I324" s="79" t="str">
        <f>IF(H324="","",IF($I$8="A",(RANK(H324,H$11:H$343,1)+COUNTIF(H$11:H324,H324)-1),(RANK(H324,H$11:H$343)+COUNTIF(H$11:H324,H324)-1)))</f>
        <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f>HLOOKUP($AX$9&amp;$AX$10,Data!$A$1:$ZZ$1980,(MATCH($C324,Data!$A$1:$A$1980,0)),FALSE)</f>
        <v>496.9</v>
      </c>
    </row>
    <row r="325" spans="1:50">
      <c r="A325" s="59" t="str">
        <f>$D$1&amp;315</f>
        <v>UA315</v>
      </c>
      <c r="B325" s="60">
        <f>IF(ISERROR(VLOOKUP(A334,classifications!A:C,3,FALSE)),0,VLOOKUP(A334,classifications!A:C,3,FALSE))</f>
        <v>0</v>
      </c>
      <c r="C325" t="s">
        <v>185</v>
      </c>
      <c r="D325" t="str">
        <f>VLOOKUP($C325,classifications!$C:$J,4,FALSE)</f>
        <v>SD</v>
      </c>
      <c r="E325" t="str">
        <f>VLOOKUP(C325,classifications!C:K,9,FALSE)</f>
        <v>Sparse</v>
      </c>
      <c r="F325">
        <f t="shared" si="129"/>
        <v>490.9</v>
      </c>
      <c r="G325" s="15"/>
      <c r="H325" s="42" t="str">
        <f t="shared" si="130"/>
        <v/>
      </c>
      <c r="I325" s="79" t="str">
        <f>IF(H325="","",IF($I$8="A",(RANK(H325,H$11:H$343,1)+COUNTIF(H$11:H325,H325)-1),(RANK(H325,H$11:H$343)+COUNTIF(H$11:H325,H325)-1)))</f>
        <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f>HLOOKUP($AX$9&amp;$AX$10,Data!$A$1:$ZZ$1980,(MATCH($C325,Data!$A$1:$A$1980,0)),FALSE)</f>
        <v>490.9</v>
      </c>
    </row>
    <row r="326" spans="1:50">
      <c r="A326" s="59" t="str">
        <f>$D$1&amp;316</f>
        <v>UA316</v>
      </c>
      <c r="B326" s="60">
        <f>IF(ISERROR(VLOOKUP(A335,classifications!A:C,3,FALSE)),0,VLOOKUP(A335,classifications!A:C,3,FALSE))</f>
        <v>0</v>
      </c>
      <c r="C326" t="s">
        <v>186</v>
      </c>
      <c r="D326" t="str">
        <f>VLOOKUP($C326,classifications!$C:$J,4,FALSE)</f>
        <v>SD</v>
      </c>
      <c r="E326" t="str">
        <f>VLOOKUP(C326,classifications!C:K,9,FALSE)</f>
        <v>Sparse</v>
      </c>
      <c r="F326">
        <f t="shared" si="129"/>
        <v>341.5</v>
      </c>
      <c r="G326" s="15"/>
      <c r="H326" s="42" t="str">
        <f t="shared" si="130"/>
        <v/>
      </c>
      <c r="I326" s="79" t="str">
        <f>IF(H326="","",IF($I$8="A",(RANK(H326,H$11:H$343,1)+COUNTIF(H$11:H326,H326)-1),(RANK(H326,H$11:H$343)+COUNTIF(H$11:H326,H326)-1)))</f>
        <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f>HLOOKUP($AX$9&amp;$AX$10,Data!$A$1:$ZZ$1980,(MATCH($C326,Data!$A$1:$A$1980,0)),FALSE)</f>
        <v>341.5</v>
      </c>
    </row>
    <row r="327" spans="1:50">
      <c r="A327" s="59" t="str">
        <f>$D$1&amp;317</f>
        <v>UA317</v>
      </c>
      <c r="B327" s="60">
        <f>IF(ISERROR(VLOOKUP(A337,classifications!A:C,3,FALSE)),0,VLOOKUP(A337,classifications!A:C,3,FALSE))</f>
        <v>0</v>
      </c>
      <c r="C327" t="s">
        <v>332</v>
      </c>
      <c r="D327" t="str">
        <f>VLOOKUP($C327,classifications!$C:$J,4,FALSE)</f>
        <v>SC</v>
      </c>
      <c r="E327">
        <f>VLOOKUP(C327,classifications!C:K,9,FALSE)</f>
        <v>0</v>
      </c>
      <c r="F327">
        <f t="shared" si="129"/>
        <v>430.2</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430.2</v>
      </c>
    </row>
    <row r="328" spans="1:50">
      <c r="A328" s="59" t="str">
        <f>$D$1&amp;318</f>
        <v>UA318</v>
      </c>
      <c r="B328" s="60">
        <f>IF(ISERROR(VLOOKUP(A338,classifications!A:C,3,FALSE)),0,VLOOKUP(A338,classifications!A:C,3,FALSE))</f>
        <v>0</v>
      </c>
      <c r="C328" t="s">
        <v>188</v>
      </c>
      <c r="D328" t="str">
        <f>VLOOKUP($C328,classifications!$C:$J,4,FALSE)</f>
        <v>L</v>
      </c>
      <c r="E328">
        <f>VLOOKUP(C328,classifications!C:K,9,FALSE)</f>
        <v>0</v>
      </c>
      <c r="F328">
        <f t="shared" si="129"/>
        <v>471.1</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471.1</v>
      </c>
    </row>
    <row r="329" spans="1:50">
      <c r="A329" s="59" t="str">
        <f>$D$1&amp;319</f>
        <v>UA319</v>
      </c>
      <c r="B329" s="60">
        <f>IF(ISERROR(VLOOKUP(A340,classifications!A:C,3,FALSE)),0,VLOOKUP(A340,classifications!A:C,3,FALSE))</f>
        <v>0</v>
      </c>
      <c r="C329" t="s">
        <v>256</v>
      </c>
      <c r="D329" t="str">
        <f>VLOOKUP($C329,classifications!$C:$J,4,FALSE)</f>
        <v>MD</v>
      </c>
      <c r="E329">
        <f>VLOOKUP(C329,classifications!C:K,9,FALSE)</f>
        <v>0</v>
      </c>
      <c r="F329">
        <f t="shared" si="129"/>
        <v>426.9</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426.9</v>
      </c>
    </row>
    <row r="330" spans="1:50">
      <c r="A330" s="59" t="str">
        <f>$D$1&amp;320</f>
        <v>UA320</v>
      </c>
      <c r="B330" s="60">
        <f>IF(ISERROR(VLOOKUP(A341,classifications!A:C,3,FALSE)),0,VLOOKUP(A341,classifications!A:C,3,FALSE))</f>
        <v>0</v>
      </c>
      <c r="C330" t="s">
        <v>298</v>
      </c>
      <c r="D330" t="str">
        <f>VLOOKUP($C330,classifications!$C:$J,4,FALSE)</f>
        <v>UA</v>
      </c>
      <c r="E330">
        <f>VLOOKUP(C330,classifications!C:K,9,FALSE)</f>
        <v>0</v>
      </c>
      <c r="F330">
        <f t="shared" si="129"/>
        <v>542.4</v>
      </c>
      <c r="G330" s="15"/>
      <c r="H330" s="42">
        <f t="shared" si="130"/>
        <v>542.4</v>
      </c>
      <c r="I330" s="79">
        <f>IF(H330="","",IF($I$8="A",(RANK(H330,H$11:H$343,1)+COUNTIF(H$11:H330,H330)-1),(RANK(H330,H$11:H$343)+COUNTIF(H$11:H330,H330)-1)))</f>
        <v>35</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542.4</v>
      </c>
    </row>
    <row r="331" spans="1:50">
      <c r="A331" s="59" t="str">
        <f>$D$1&amp;321</f>
        <v>UA321</v>
      </c>
      <c r="B331" s="60">
        <f>IF(ISERROR(VLOOKUP(A342,classifications!A:C,3,FALSE)),0,VLOOKUP(A342,classifications!A:C,3,FALSE))</f>
        <v>0</v>
      </c>
      <c r="C331" t="s">
        <v>189</v>
      </c>
      <c r="D331" t="str">
        <f>VLOOKUP($C331,classifications!$C:$J,4,FALSE)</f>
        <v>SD</v>
      </c>
      <c r="E331">
        <f>VLOOKUP(C331,classifications!C:K,9,FALSE)</f>
        <v>0</v>
      </c>
      <c r="F331">
        <f t="shared" si="129"/>
        <v>445.9</v>
      </c>
      <c r="G331" s="15"/>
      <c r="H331" s="42" t="str">
        <f t="shared" si="130"/>
        <v/>
      </c>
      <c r="I331" s="79" t="str">
        <f>IF(H331="","",IF($I$8="A",(RANK(H331,H$11:H$343,1)+COUNTIF(H$11:H331,H331)-1),(RANK(H331,H$11:H$343)+COUNTIF(H$11:H331,H331)-1)))</f>
        <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f>HLOOKUP($AX$9&amp;$AX$10,Data!$A$1:$ZZ$1980,(MATCH($C331,Data!$A$1:$A$1980,0)),FALSE)</f>
        <v>445.9</v>
      </c>
    </row>
    <row r="332" spans="1:50">
      <c r="A332" s="59" t="str">
        <f>$D$1&amp;322</f>
        <v>UA322</v>
      </c>
      <c r="B332" s="60">
        <f>IF(ISERROR(VLOOKUP(A343,classifications!A:C,3,FALSE)),0,VLOOKUP(A343,classifications!A:C,3,FALSE))</f>
        <v>0</v>
      </c>
      <c r="C332" t="s">
        <v>816</v>
      </c>
      <c r="D332" t="str">
        <f>VLOOKUP($C332,classifications!$C:$J,4,FALSE)</f>
        <v>UA</v>
      </c>
      <c r="E332">
        <f>VLOOKUP(C332,classifications!C:K,9,FALSE)</f>
        <v>0</v>
      </c>
      <c r="F332">
        <f t="shared" si="129"/>
        <v>470.6</v>
      </c>
      <c r="G332" s="15"/>
      <c r="H332" s="42">
        <f t="shared" si="130"/>
        <v>470.6</v>
      </c>
      <c r="I332" s="79">
        <f>IF(H332="","",IF($I$8="A",(RANK(H332,H$11:H$343,1)+COUNTIF(H$11:H332,H332)-1),(RANK(H332,H$11:H$343)+COUNTIF(H$11:H332,H332)-1)))</f>
        <v>16</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470.6</v>
      </c>
    </row>
    <row r="333" spans="1:50">
      <c r="A333" s="59" t="str">
        <f>$D$1&amp;323</f>
        <v>UA323</v>
      </c>
      <c r="B333" s="60">
        <f>IF(ISERROR(VLOOKUP(A344,classifications!A:C,3,FALSE)),0,VLOOKUP(A344,classifications!A:C,3,FALSE))</f>
        <v>0</v>
      </c>
      <c r="C333" t="s">
        <v>257</v>
      </c>
      <c r="D333" t="str">
        <f>VLOOKUP($C333,classifications!$C:$J,4,FALSE)</f>
        <v>MD</v>
      </c>
      <c r="E333">
        <f>VLOOKUP(C333,classifications!C:K,9,FALSE)</f>
        <v>0</v>
      </c>
      <c r="F333">
        <f t="shared" si="129"/>
        <v>534</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f>HLOOKUP($AX$9&amp;$AX$10,Data!$A$1:$ZZ$1980,(MATCH($C333,Data!$A$1:$A$1980,0)),FALSE)</f>
        <v>534</v>
      </c>
    </row>
    <row r="334" spans="1:50">
      <c r="A334" s="59" t="str">
        <f>$D$1&amp;324</f>
        <v>UA324</v>
      </c>
      <c r="B334" s="60">
        <f>IF(ISERROR(VLOOKUP(A345,classifications!A:C,3,FALSE)),0,VLOOKUP(A345,classifications!A:C,3,FALSE))</f>
        <v>0</v>
      </c>
      <c r="C334" t="s">
        <v>190</v>
      </c>
      <c r="D334" t="str">
        <f>VLOOKUP($C334,classifications!$C:$J,4,FALSE)</f>
        <v>SD</v>
      </c>
      <c r="E334">
        <f>VLOOKUP(C334,classifications!C:K,9,FALSE)</f>
        <v>0</v>
      </c>
      <c r="F334">
        <f t="shared" si="129"/>
        <v>359.7</v>
      </c>
      <c r="G334" s="15"/>
      <c r="H334" s="42" t="str">
        <f t="shared" si="130"/>
        <v/>
      </c>
      <c r="I334" s="79" t="str">
        <f>IF(H334="","",IF($I$8="A",(RANK(H334,H$11:H$343,1)+COUNTIF(H$11:H334,H334)-1),(RANK(H334,H$11:H$343)+COUNTIF(H$11:H334,H334)-1)))</f>
        <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f>HLOOKUP($AX$9&amp;$AX$10,Data!$A$1:$ZZ$1980,(MATCH($C334,Data!$A$1:$A$1980,0)),FALSE)</f>
        <v>359.7</v>
      </c>
    </row>
    <row r="335" spans="1:50">
      <c r="A335" s="59" t="str">
        <f>$D$1&amp;325</f>
        <v>UA325</v>
      </c>
      <c r="B335" s="60">
        <f>IF(ISERROR(VLOOKUP(A346,classifications!A:C,3,FALSE)),0,VLOOKUP(A346,classifications!A:C,3,FALSE))</f>
        <v>0</v>
      </c>
      <c r="C335" t="s">
        <v>299</v>
      </c>
      <c r="D335" t="str">
        <f>VLOOKUP($C335,classifications!$C:$J,4,FALSE)</f>
        <v>UA</v>
      </c>
      <c r="E335">
        <f>VLOOKUP(C335,classifications!C:K,9,FALSE)</f>
        <v>0</v>
      </c>
      <c r="F335">
        <f t="shared" si="129"/>
        <v>420.4</v>
      </c>
      <c r="G335" s="15"/>
      <c r="H335" s="42">
        <f t="shared" si="130"/>
        <v>420.4</v>
      </c>
      <c r="I335" s="79">
        <f>IF(H335="","",IF($I$8="A",(RANK(H335,H$11:H$343,1)+COUNTIF(H$11:H335,H335)-1),(RANK(H335,H$11:H$343)+COUNTIF(H$11:H335,H335)-1)))</f>
        <v>11</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420.4</v>
      </c>
    </row>
    <row r="336" spans="1:50">
      <c r="A336" s="59" t="str">
        <f>$D$1&amp;326</f>
        <v>UA326</v>
      </c>
      <c r="B336" s="60">
        <f>IF(ISERROR(VLOOKUP(A347,classifications!A:C,3,FALSE)),0,VLOOKUP(A347,classifications!A:C,3,FALSE))</f>
        <v>0</v>
      </c>
      <c r="C336" t="s">
        <v>258</v>
      </c>
      <c r="D336" t="str">
        <f>VLOOKUP($C336,classifications!$C:$J,4,FALSE)</f>
        <v>MD</v>
      </c>
      <c r="E336">
        <f>VLOOKUP(C336,classifications!C:K,9,FALSE)</f>
        <v>0</v>
      </c>
      <c r="F336">
        <f t="shared" si="129"/>
        <v>549.4</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549.4</v>
      </c>
    </row>
    <row r="337" spans="1:84">
      <c r="A337" s="59" t="str">
        <f>$D$1&amp;327</f>
        <v>UA327</v>
      </c>
      <c r="B337" s="60">
        <f>IF(ISERROR(VLOOKUP(A348,classifications!A:C,3,FALSE)),0,VLOOKUP(A348,classifications!A:C,3,FALSE))</f>
        <v>0</v>
      </c>
      <c r="C337" t="s">
        <v>191</v>
      </c>
      <c r="D337" t="str">
        <f>VLOOKUP($C337,classifications!$C:$J,4,FALSE)</f>
        <v>SD</v>
      </c>
      <c r="E337">
        <f>VLOOKUP(C337,classifications!C:K,9,FALSE)</f>
        <v>0</v>
      </c>
      <c r="F337">
        <f t="shared" si="129"/>
        <v>431.4</v>
      </c>
      <c r="G337" s="15"/>
      <c r="H337" s="42" t="str">
        <f t="shared" si="130"/>
        <v/>
      </c>
      <c r="I337" s="79" t="str">
        <f>IF(H337="","",IF($I$8="A",(RANK(H337,H$11:H$343,1)+COUNTIF(H$11:H337,H337)-1),(RANK(H337,H$11:H$343)+COUNTIF(H$11:H337,H337)-1)))</f>
        <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f>HLOOKUP($AX$9&amp;$AX$10,Data!$A$1:$ZZ$1980,(MATCH($C337,Data!$A$1:$A$1980,0)),FALSE)</f>
        <v>431.4</v>
      </c>
    </row>
    <row r="338" spans="1:84">
      <c r="A338" s="59" t="str">
        <f>$D$1&amp;328</f>
        <v>UA328</v>
      </c>
      <c r="B338" s="60">
        <f>IF(ISERROR(VLOOKUP(A349,classifications!A:C,3,FALSE)),0,VLOOKUP(A349,classifications!A:C,3,FALSE))</f>
        <v>0</v>
      </c>
      <c r="C338" t="s">
        <v>333</v>
      </c>
      <c r="D338" t="str">
        <f>VLOOKUP($C338,classifications!$C:$J,4,FALSE)</f>
        <v>SC</v>
      </c>
      <c r="E338">
        <f>VLOOKUP(C338,classifications!C:K,9,FALSE)</f>
        <v>0</v>
      </c>
      <c r="F338">
        <f t="shared" si="129"/>
        <v>547.9</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547.9</v>
      </c>
    </row>
    <row r="339" spans="1:84">
      <c r="A339" s="59" t="str">
        <f>$D$1&amp;329</f>
        <v>UA329</v>
      </c>
      <c r="B339" s="60">
        <f>IF(ISERROR(VLOOKUP(A350,classifications!A:C,3,FALSE)),0,VLOOKUP(A350,classifications!A:C,3,FALSE))</f>
        <v>0</v>
      </c>
      <c r="C339" t="s">
        <v>192</v>
      </c>
      <c r="D339" t="str">
        <f>VLOOKUP($C339,classifications!$C:$J,4,FALSE)</f>
        <v>SD</v>
      </c>
      <c r="E339">
        <f>VLOOKUP(C339,classifications!C:K,9,FALSE)</f>
        <v>0</v>
      </c>
      <c r="F339">
        <f t="shared" si="129"/>
        <v>428.8</v>
      </c>
      <c r="G339" s="15"/>
      <c r="H339" s="42" t="str">
        <f t="shared" si="130"/>
        <v/>
      </c>
      <c r="I339" s="79" t="str">
        <f>IF(H339="","",IF($I$8="A",(RANK(H339,H$11:H$343,1)+COUNTIF(H$11:H339,H339)-1),(RANK(H339,H$11:H$343)+COUNTIF(H$11:H339,H339)-1)))</f>
        <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f>HLOOKUP($AX$9&amp;$AX$10,Data!$A$1:$ZZ$1980,(MATCH($C339,Data!$A$1:$A$1980,0)),FALSE)</f>
        <v>428.8</v>
      </c>
    </row>
    <row r="340" spans="1:84">
      <c r="A340" s="59" t="str">
        <f>$D$1&amp;330</f>
        <v>UA330</v>
      </c>
      <c r="B340" s="60">
        <f>IF(ISERROR(VLOOKUP(A351,classifications!A:C,3,FALSE)),0,VLOOKUP(A351,classifications!A:C,3,FALSE))</f>
        <v>0</v>
      </c>
      <c r="C340" t="s">
        <v>193</v>
      </c>
      <c r="D340" t="str">
        <f>VLOOKUP($C340,classifications!$C:$J,4,FALSE)</f>
        <v>SD</v>
      </c>
      <c r="E340" t="str">
        <f>VLOOKUP(C340,classifications!C:K,9,FALSE)</f>
        <v>Sparse</v>
      </c>
      <c r="F340">
        <f t="shared" si="129"/>
        <v>448.5</v>
      </c>
      <c r="G340" s="15"/>
      <c r="H340" s="42" t="str">
        <f t="shared" si="130"/>
        <v/>
      </c>
      <c r="I340" s="79" t="str">
        <f>IF(H340="","",IF($I$8="A",(RANK(H340,H$11:H$343,1)+COUNTIF(H$11:H340,H340)-1),(RANK(H340,H$11:H$343)+COUNTIF(H$11:H340,H340)-1)))</f>
        <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f>HLOOKUP($AX$9&amp;$AX$10,Data!$A$1:$ZZ$1980,(MATCH($C340,Data!$A$1:$A$1980,0)),FALSE)</f>
        <v>448.5</v>
      </c>
    </row>
    <row r="341" spans="1:84">
      <c r="A341" s="59" t="str">
        <f>$D$1&amp;331</f>
        <v>UA331</v>
      </c>
      <c r="B341" s="60">
        <f>IF(ISERROR(VLOOKUP(A353,classifications!A:C,3,FALSE)),0,VLOOKUP(A353,classifications!A:C,3,FALSE))</f>
        <v>0</v>
      </c>
      <c r="C341" t="s">
        <v>195</v>
      </c>
      <c r="D341" t="str">
        <f>VLOOKUP($C341,classifications!$C:$J,4,FALSE)</f>
        <v>SD</v>
      </c>
      <c r="E341">
        <f>VLOOKUP(C341,classifications!C:K,9,FALSE)</f>
        <v>0</v>
      </c>
      <c r="F341">
        <f t="shared" si="129"/>
        <v>463.6</v>
      </c>
      <c r="G341" s="15"/>
      <c r="H341" s="42" t="str">
        <f t="shared" si="130"/>
        <v/>
      </c>
      <c r="I341" s="79" t="str">
        <f>IF(H341="","",IF($I$8="A",(RANK(H341,H$11:H$343,1)+COUNTIF(H$11:H341,H341)-1),(RANK(H341,H$11:H$343)+COUNTIF(H$11:H341,H341)-1)))</f>
        <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f>HLOOKUP($AX$9&amp;$AX$10,Data!$A$1:$ZZ$1980,(MATCH($C341,Data!$A$1:$A$1980,0)),FALSE)</f>
        <v>463.6</v>
      </c>
    </row>
    <row r="342" spans="1:84">
      <c r="A342" s="59" t="str">
        <f>$D$1&amp;332</f>
        <v>UA332</v>
      </c>
      <c r="B342" s="60">
        <f>IF(ISERROR(VLOOKUP(A354,classifications!A:C,3,FALSE)),0,VLOOKUP(A354,classifications!A:C,3,FALSE))</f>
        <v>0</v>
      </c>
      <c r="C342" t="s">
        <v>196</v>
      </c>
      <c r="D342" t="str">
        <f>VLOOKUP($C342,classifications!$C:$J,4,FALSE)</f>
        <v>SD</v>
      </c>
      <c r="E342">
        <f>VLOOKUP(C342,classifications!C:K,9,FALSE)</f>
        <v>0</v>
      </c>
      <c r="F342">
        <f t="shared" ref="F342:F343" si="152">HLOOKUP($D$6,AX$10:ZX$355,ROW()-9,FALSE)</f>
        <v>483.9</v>
      </c>
      <c r="G342" s="15"/>
      <c r="H342" s="42" t="str">
        <f t="shared" ref="H342:H343" si="153">IF(D342=$D$1,HLOOKUP($D$6,$AX$10:$ZZ$355,ROW()-9,FALSE),"")</f>
        <v/>
      </c>
      <c r="I342" s="79" t="str">
        <f>IF(H342="","",IF($I$8="A",(RANK(H342,H$11:H$343,1)+COUNTIF(H$11:H342,H342)-1),(RANK(H342,H$11:H$343)+COUNTIF(H$11:H342,H342)-1)))</f>
        <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f>HLOOKUP($AX$9&amp;$AX$10,Data!$A$1:$ZZ$1980,(MATCH($C342,Data!$A$1:$A$1980,0)),FALSE)</f>
        <v>483.9</v>
      </c>
    </row>
    <row r="343" spans="1:84">
      <c r="A343" s="59" t="str">
        <f>$D$1&amp;333</f>
        <v>UA333</v>
      </c>
      <c r="B343" s="60">
        <f>IF(ISERROR(VLOOKUP(A355,classifications!A:C,3,FALSE)),0,VLOOKUP(A355,classifications!A:C,3,FALSE))</f>
        <v>0</v>
      </c>
      <c r="C343" t="s">
        <v>300</v>
      </c>
      <c r="D343" t="str">
        <f>VLOOKUP($C343,classifications!$C:$J,4,FALSE)</f>
        <v>UA</v>
      </c>
      <c r="E343">
        <f>VLOOKUP(C343,classifications!C:K,9,FALSE)</f>
        <v>0</v>
      </c>
      <c r="F343">
        <f t="shared" si="152"/>
        <v>499.4</v>
      </c>
      <c r="G343" s="15"/>
      <c r="H343" s="42">
        <f t="shared" si="153"/>
        <v>499.4</v>
      </c>
      <c r="I343" s="79">
        <f>IF(H343="","",IF($I$8="A",(RANK(H343,H$11:H$343,1)+COUNTIF(H$11:H343,H343)-1),(RANK(H343,H$11:H$343)+COUNTIF(H$11:H343,H343)-1)))</f>
        <v>22</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499.4</v>
      </c>
    </row>
    <row r="344" spans="1:84">
      <c r="A344" s="59" t="str">
        <f>$D$1&amp;334</f>
        <v>UA334</v>
      </c>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c r="A345" s="59" t="str">
        <f>$D$1&amp;335</f>
        <v>UA335</v>
      </c>
    </row>
    <row r="346" spans="1:84">
      <c r="A346" s="59" t="str">
        <f>$D$1&amp;336</f>
        <v>UA336</v>
      </c>
    </row>
    <row r="347" spans="1:84">
      <c r="A347" s="59" t="str">
        <f>$D$1&amp;337</f>
        <v>UA337</v>
      </c>
    </row>
    <row r="348" spans="1:84">
      <c r="A348" s="59" t="str">
        <f>$D$1&amp;338</f>
        <v>UA338</v>
      </c>
    </row>
    <row r="349" spans="1:84">
      <c r="A349" s="59" t="str">
        <f>$D$1&amp;339</f>
        <v>UA339</v>
      </c>
    </row>
    <row r="350" spans="1:84">
      <c r="A350" s="59" t="str">
        <f>$D$1&amp;340</f>
        <v>UA340</v>
      </c>
    </row>
    <row r="351" spans="1:84">
      <c r="A351" s="59" t="str">
        <f>$D$1&amp;341</f>
        <v>UA341</v>
      </c>
    </row>
    <row r="352" spans="1:84">
      <c r="A352" s="59" t="str">
        <f>$D$1&amp;342</f>
        <v>UA342</v>
      </c>
    </row>
    <row r="353" spans="1:735">
      <c r="A353" s="59" t="str">
        <f>$D$1&amp;343</f>
        <v>UA343</v>
      </c>
    </row>
    <row r="354" spans="1:735">
      <c r="A354" s="59" t="str">
        <f>$D$1&amp;344</f>
        <v>UA344</v>
      </c>
    </row>
    <row r="355" spans="1:735">
      <c r="A355" s="59" t="str">
        <f>$D$1&amp;345</f>
        <v>UA345</v>
      </c>
    </row>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G500"/>
  <sheetViews>
    <sheetView zoomScaleNormal="100" workbookViewId="0">
      <selection activeCell="F3" sqref="F3"/>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7">
      <c r="A1" s="67">
        <f>INDEX(A2:A500,(MATCH(Profile!$W$6,B2:B500,0)))</f>
        <v>2</v>
      </c>
      <c r="B1" s="67" t="s">
        <v>808</v>
      </c>
      <c r="C1" s="67" t="s">
        <v>802</v>
      </c>
      <c r="D1" s="67" t="s">
        <v>794</v>
      </c>
      <c r="E1" s="67" t="s">
        <v>799</v>
      </c>
      <c r="F1" s="67" t="s">
        <v>809</v>
      </c>
    </row>
    <row r="2" spans="1:7" ht="28.8">
      <c r="A2" s="34">
        <f>COUNTA(F2:ZY2)</f>
        <v>2</v>
      </c>
      <c r="B2" s="215" t="s">
        <v>890</v>
      </c>
      <c r="C2" t="s">
        <v>823</v>
      </c>
      <c r="D2" t="s">
        <v>823</v>
      </c>
      <c r="E2" t="s">
        <v>887</v>
      </c>
      <c r="F2" t="s">
        <v>907</v>
      </c>
      <c r="G2" t="s">
        <v>910</v>
      </c>
    </row>
    <row r="3" spans="1:7" ht="14.4">
      <c r="A3" s="34">
        <f t="shared" ref="A3:A66" si="0">COUNTA(F3:ZY3)</f>
        <v>0</v>
      </c>
      <c r="B3" s="201"/>
    </row>
    <row r="4" spans="1:7" ht="14.4">
      <c r="A4" s="34">
        <f t="shared" si="0"/>
        <v>0</v>
      </c>
      <c r="B4" s="201"/>
    </row>
    <row r="5" spans="1:7" ht="14.4">
      <c r="A5" s="34">
        <f t="shared" si="0"/>
        <v>0</v>
      </c>
      <c r="B5" s="201"/>
    </row>
    <row r="6" spans="1:7" ht="14.4">
      <c r="A6" s="34">
        <f t="shared" si="0"/>
        <v>0</v>
      </c>
      <c r="B6" s="201"/>
    </row>
    <row r="7" spans="1:7" ht="14.4">
      <c r="A7" s="34">
        <f t="shared" si="0"/>
        <v>0</v>
      </c>
      <c r="B7" s="208"/>
      <c r="C7" s="201"/>
      <c r="D7" s="206"/>
      <c r="E7" s="208"/>
    </row>
    <row r="8" spans="1:7" ht="14.4">
      <c r="A8" s="34">
        <f t="shared" si="0"/>
        <v>0</v>
      </c>
      <c r="B8" s="201"/>
      <c r="C8" s="208"/>
      <c r="D8" s="201"/>
    </row>
    <row r="9" spans="1:7" ht="14.4">
      <c r="A9" s="34">
        <f t="shared" si="0"/>
        <v>0</v>
      </c>
      <c r="B9" s="209"/>
      <c r="C9" s="201"/>
      <c r="D9" s="122"/>
      <c r="E9" s="134"/>
    </row>
    <row r="10" spans="1:7">
      <c r="A10" s="34">
        <f t="shared" si="0"/>
        <v>0</v>
      </c>
      <c r="B10" s="153"/>
      <c r="C10" s="154"/>
      <c r="D10" s="122"/>
    </row>
    <row r="11" spans="1:7">
      <c r="A11" s="34">
        <f t="shared" si="0"/>
        <v>0</v>
      </c>
      <c r="B11" s="151"/>
    </row>
    <row r="12" spans="1:7">
      <c r="A12" s="34">
        <f t="shared" si="0"/>
        <v>0</v>
      </c>
      <c r="B12" s="151"/>
    </row>
    <row r="13" spans="1:7" ht="14.4">
      <c r="A13" s="34">
        <f t="shared" si="0"/>
        <v>0</v>
      </c>
      <c r="B13" s="209"/>
    </row>
    <row r="14" spans="1:7">
      <c r="A14" s="34">
        <f t="shared" si="0"/>
        <v>0</v>
      </c>
    </row>
    <row r="15" spans="1:7">
      <c r="A15" s="34">
        <f t="shared" si="0"/>
        <v>0</v>
      </c>
    </row>
    <row r="16" spans="1:7">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2"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C7" sqref="C7:J339"/>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Residual household waste per household (kg/household) (Ex NI191)2022-23</v>
      </c>
      <c r="E1" s="140" t="str">
        <f t="shared" si="0"/>
        <v>Percentage of household waste sent for reuse, recycling or composting (Ex NI192)2021-22</v>
      </c>
      <c r="F1" s="140" t="str">
        <f t="shared" si="0"/>
        <v>Percentage of household waste sent for reuse, recycling or composting (Ex NI192)2022-23</v>
      </c>
      <c r="G1" s="140" t="str">
        <f t="shared" si="0"/>
        <v>Percentage of municipal waste sent to landfill (Ex NI193)2021-22</v>
      </c>
      <c r="H1" s="140" t="str">
        <f t="shared" si="0"/>
        <v>Percentage of municipal waste sent to landfill (Ex NI193)2022-23</v>
      </c>
      <c r="I1" s="140" t="str">
        <f t="shared" si="0"/>
        <v>Collected household waste per person (kg) (Ex BVPI 84a)2021-22</v>
      </c>
      <c r="J1" s="140" t="str">
        <f t="shared" si="0"/>
        <v>Collected household waste per person (kg) (Ex BVPI 84a)2022-23</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1"/>
      <c r="W3" s="301"/>
      <c r="X3" s="134"/>
      <c r="Y3" s="134"/>
    </row>
    <row r="4" spans="1:77" ht="60" customHeight="1">
      <c r="A4" s="299" t="s">
        <v>822</v>
      </c>
      <c r="B4" s="142" t="s">
        <v>804</v>
      </c>
      <c r="C4" t="s">
        <v>890</v>
      </c>
      <c r="D4" t="s">
        <v>890</v>
      </c>
      <c r="E4" t="s">
        <v>891</v>
      </c>
      <c r="F4" t="s">
        <v>891</v>
      </c>
      <c r="G4" t="s">
        <v>892</v>
      </c>
      <c r="H4" t="s">
        <v>892</v>
      </c>
      <c r="I4" t="s">
        <v>893</v>
      </c>
      <c r="J4" t="s">
        <v>893</v>
      </c>
      <c r="K4"/>
      <c r="L4"/>
      <c r="M4"/>
      <c r="N4"/>
      <c r="O4"/>
      <c r="P4"/>
      <c r="Q4"/>
      <c r="R4"/>
      <c r="S4"/>
      <c r="T4"/>
      <c r="U4"/>
      <c r="V4"/>
      <c r="W4"/>
      <c r="X4"/>
      <c r="Y4"/>
      <c r="Z4"/>
      <c r="AA4"/>
      <c r="AB4"/>
      <c r="AC4"/>
      <c r="AD4"/>
      <c r="AE4"/>
      <c r="AF4"/>
      <c r="AG4"/>
      <c r="AH4"/>
      <c r="AI4"/>
      <c r="AJ4"/>
    </row>
    <row r="5" spans="1:77" ht="30" customHeight="1">
      <c r="A5" s="300"/>
      <c r="B5" s="143" t="s">
        <v>366</v>
      </c>
      <c r="C5" t="s">
        <v>907</v>
      </c>
      <c r="D5" t="s">
        <v>910</v>
      </c>
      <c r="E5" t="s">
        <v>907</v>
      </c>
      <c r="F5" t="s">
        <v>910</v>
      </c>
      <c r="G5" t="s">
        <v>907</v>
      </c>
      <c r="H5" t="s">
        <v>910</v>
      </c>
      <c r="I5" t="s">
        <v>907</v>
      </c>
      <c r="J5" t="s">
        <v>910</v>
      </c>
      <c r="K5"/>
      <c r="L5"/>
      <c r="M5"/>
      <c r="N5"/>
      <c r="O5"/>
      <c r="P5"/>
      <c r="Q5"/>
      <c r="R5"/>
      <c r="S5"/>
      <c r="T5"/>
      <c r="U5"/>
      <c r="V5"/>
      <c r="W5"/>
      <c r="X5"/>
      <c r="Y5"/>
      <c r="Z5"/>
      <c r="AA5"/>
      <c r="AB5"/>
      <c r="AC5"/>
      <c r="AD5"/>
      <c r="AE5"/>
      <c r="AF5"/>
      <c r="AG5"/>
      <c r="AH5"/>
      <c r="AI5"/>
      <c r="AJ5"/>
      <c r="AS5"/>
      <c r="AT5"/>
    </row>
    <row r="6" spans="1:77" ht="14.7" customHeight="1">
      <c r="A6" s="300"/>
      <c r="B6" s="143" t="s">
        <v>367</v>
      </c>
      <c r="C6" s="156" t="s">
        <v>889</v>
      </c>
      <c r="D6" s="156" t="s">
        <v>889</v>
      </c>
      <c r="E6" s="156" t="s">
        <v>889</v>
      </c>
      <c r="F6" s="156" t="s">
        <v>889</v>
      </c>
      <c r="G6" s="156" t="s">
        <v>889</v>
      </c>
      <c r="H6" s="156" t="s">
        <v>889</v>
      </c>
      <c r="I6" s="156" t="s">
        <v>889</v>
      </c>
      <c r="J6" s="156" t="s">
        <v>889</v>
      </c>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400</v>
      </c>
      <c r="D7">
        <v>380.3</v>
      </c>
      <c r="E7">
        <v>0.41399999999999998</v>
      </c>
      <c r="F7">
        <v>0.39400000000000002</v>
      </c>
      <c r="G7">
        <v>0</v>
      </c>
      <c r="H7">
        <v>0</v>
      </c>
      <c r="I7">
        <v>303.39999999999998</v>
      </c>
      <c r="J7">
        <v>279.5</v>
      </c>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546.9</v>
      </c>
      <c r="D8">
        <v>522.20000000000005</v>
      </c>
      <c r="E8">
        <v>0.36</v>
      </c>
      <c r="F8">
        <v>0.35799999999999998</v>
      </c>
      <c r="G8">
        <v>0</v>
      </c>
      <c r="H8">
        <v>0</v>
      </c>
      <c r="I8">
        <v>423.4</v>
      </c>
      <c r="J8">
        <v>405.5</v>
      </c>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573.79999999999995</v>
      </c>
      <c r="D9">
        <v>526.29999999999995</v>
      </c>
      <c r="E9">
        <v>0.29499999999999998</v>
      </c>
      <c r="F9">
        <v>0.32100000000000001</v>
      </c>
      <c r="G9">
        <v>0</v>
      </c>
      <c r="H9">
        <v>0</v>
      </c>
      <c r="I9">
        <v>381</v>
      </c>
      <c r="J9">
        <v>365.2</v>
      </c>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448.2</v>
      </c>
      <c r="D10">
        <v>431.8</v>
      </c>
      <c r="E10">
        <v>0.42599999999999999</v>
      </c>
      <c r="F10">
        <v>0.42299999999999999</v>
      </c>
      <c r="G10">
        <v>0</v>
      </c>
      <c r="H10">
        <v>0</v>
      </c>
      <c r="I10">
        <v>363.5</v>
      </c>
      <c r="J10">
        <v>349.7</v>
      </c>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532.70000000000005</v>
      </c>
      <c r="D11">
        <v>507.7</v>
      </c>
      <c r="E11">
        <v>0.37</v>
      </c>
      <c r="F11">
        <v>0.35</v>
      </c>
      <c r="G11">
        <v>0</v>
      </c>
      <c r="H11">
        <v>0</v>
      </c>
      <c r="I11">
        <v>380.8</v>
      </c>
      <c r="J11">
        <v>351.6</v>
      </c>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414.4</v>
      </c>
      <c r="D12">
        <v>385.8</v>
      </c>
      <c r="E12">
        <v>0.51700000000000002</v>
      </c>
      <c r="F12">
        <v>0.51</v>
      </c>
      <c r="G12">
        <v>0</v>
      </c>
      <c r="H12">
        <v>0</v>
      </c>
      <c r="I12">
        <v>369.9</v>
      </c>
      <c r="J12">
        <v>338.5</v>
      </c>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880</v>
      </c>
      <c r="D13" t="s">
        <v>880</v>
      </c>
      <c r="E13" t="s">
        <v>880</v>
      </c>
      <c r="F13" t="s">
        <v>880</v>
      </c>
      <c r="G13" t="s">
        <v>880</v>
      </c>
      <c r="H13" t="s">
        <v>880</v>
      </c>
      <c r="I13" t="s">
        <v>880</v>
      </c>
      <c r="J13" t="s">
        <v>880</v>
      </c>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760.1</v>
      </c>
      <c r="D14">
        <v>673</v>
      </c>
      <c r="E14">
        <v>0.30499999999999999</v>
      </c>
      <c r="F14">
        <v>0.32800000000000001</v>
      </c>
      <c r="G14">
        <v>0</v>
      </c>
      <c r="H14">
        <v>0</v>
      </c>
      <c r="I14">
        <v>390.3</v>
      </c>
      <c r="J14">
        <v>360.5</v>
      </c>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646.4</v>
      </c>
      <c r="D15">
        <v>634.70000000000005</v>
      </c>
      <c r="E15">
        <v>0.29799999999999999</v>
      </c>
      <c r="F15">
        <v>0.27300000000000002</v>
      </c>
      <c r="G15">
        <v>0</v>
      </c>
      <c r="H15">
        <v>0</v>
      </c>
      <c r="I15">
        <v>370.2</v>
      </c>
      <c r="J15">
        <v>353.5</v>
      </c>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515.29999999999995</v>
      </c>
      <c r="D16">
        <v>480</v>
      </c>
      <c r="E16">
        <v>0.44900000000000001</v>
      </c>
      <c r="F16">
        <v>0.44600000000000001</v>
      </c>
      <c r="G16">
        <v>2.1999999999999999E-2</v>
      </c>
      <c r="H16">
        <v>0.02</v>
      </c>
      <c r="I16">
        <v>434.8</v>
      </c>
      <c r="J16">
        <v>402.7</v>
      </c>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615.79999999999995</v>
      </c>
      <c r="D17">
        <v>558.70000000000005</v>
      </c>
      <c r="E17">
        <v>0.17699999999999999</v>
      </c>
      <c r="F17">
        <v>0.18</v>
      </c>
      <c r="G17">
        <v>0</v>
      </c>
      <c r="H17">
        <v>0</v>
      </c>
      <c r="I17">
        <v>378.1</v>
      </c>
      <c r="J17">
        <v>345.5</v>
      </c>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575.79999999999995</v>
      </c>
      <c r="D18">
        <v>536</v>
      </c>
      <c r="E18">
        <v>0.45200000000000001</v>
      </c>
      <c r="F18">
        <v>0.43099999999999999</v>
      </c>
      <c r="G18">
        <v>0</v>
      </c>
      <c r="H18">
        <v>0</v>
      </c>
      <c r="I18">
        <v>445.8</v>
      </c>
      <c r="J18">
        <v>397.7</v>
      </c>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567.20000000000005</v>
      </c>
      <c r="D19">
        <v>537</v>
      </c>
      <c r="E19">
        <v>0.29699999999999999</v>
      </c>
      <c r="F19">
        <v>0.29399999999999998</v>
      </c>
      <c r="G19">
        <v>0</v>
      </c>
      <c r="H19">
        <v>0</v>
      </c>
      <c r="I19">
        <v>343.3</v>
      </c>
      <c r="J19">
        <v>323.7</v>
      </c>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628.1</v>
      </c>
      <c r="D20">
        <v>586</v>
      </c>
      <c r="E20">
        <v>0.26400000000000001</v>
      </c>
      <c r="F20">
        <v>0.26500000000000001</v>
      </c>
      <c r="G20">
        <v>0</v>
      </c>
      <c r="H20">
        <v>0</v>
      </c>
      <c r="I20">
        <v>395.3</v>
      </c>
      <c r="J20">
        <v>371.8</v>
      </c>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360.2</v>
      </c>
      <c r="D21">
        <v>354</v>
      </c>
      <c r="E21">
        <v>0.59199999999999997</v>
      </c>
      <c r="F21">
        <v>0.56899999999999995</v>
      </c>
      <c r="G21">
        <v>2.8000000000000001E-2</v>
      </c>
      <c r="H21">
        <v>4.2999999999999997E-2</v>
      </c>
      <c r="I21">
        <v>391.7</v>
      </c>
      <c r="J21">
        <v>360.1</v>
      </c>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617.20000000000005</v>
      </c>
      <c r="D22">
        <v>580.79999999999995</v>
      </c>
      <c r="E22">
        <v>0.37</v>
      </c>
      <c r="F22">
        <v>0.35699999999999998</v>
      </c>
      <c r="G22">
        <v>0.26300000000000001</v>
      </c>
      <c r="H22">
        <v>0.123</v>
      </c>
      <c r="I22">
        <v>414.2</v>
      </c>
      <c r="J22">
        <v>382.5</v>
      </c>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517.4</v>
      </c>
      <c r="D23">
        <v>463.9</v>
      </c>
      <c r="E23">
        <v>0.42699999999999999</v>
      </c>
      <c r="F23">
        <v>0.438</v>
      </c>
      <c r="G23">
        <v>2E-3</v>
      </c>
      <c r="H23">
        <v>2E-3</v>
      </c>
      <c r="I23">
        <v>366.3</v>
      </c>
      <c r="J23">
        <v>336.1</v>
      </c>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680.2</v>
      </c>
      <c r="D24">
        <v>656.1</v>
      </c>
      <c r="E24">
        <v>0.22800000000000001</v>
      </c>
      <c r="F24">
        <v>0.22900000000000001</v>
      </c>
      <c r="G24">
        <v>2.5000000000000001E-2</v>
      </c>
      <c r="H24">
        <v>1.2E-2</v>
      </c>
      <c r="I24">
        <v>351</v>
      </c>
      <c r="J24">
        <v>336.7</v>
      </c>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496.5</v>
      </c>
      <c r="D25">
        <v>462.4</v>
      </c>
      <c r="E25">
        <v>0.42199999999999999</v>
      </c>
      <c r="F25">
        <v>0.40600000000000003</v>
      </c>
      <c r="G25">
        <v>0</v>
      </c>
      <c r="H25">
        <v>0</v>
      </c>
      <c r="I25">
        <v>365.7</v>
      </c>
      <c r="J25">
        <v>330.3</v>
      </c>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606.20000000000005</v>
      </c>
      <c r="D26">
        <v>591.70000000000005</v>
      </c>
      <c r="E26">
        <v>0.30399999999999999</v>
      </c>
      <c r="F26">
        <v>0.29599999999999999</v>
      </c>
      <c r="G26">
        <v>0.06</v>
      </c>
      <c r="H26">
        <v>2.5999999999999999E-2</v>
      </c>
      <c r="I26">
        <v>351.1</v>
      </c>
      <c r="J26">
        <v>339.7</v>
      </c>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527.79999999999995</v>
      </c>
      <c r="D27">
        <v>469.9</v>
      </c>
      <c r="E27">
        <v>0.41699999999999998</v>
      </c>
      <c r="F27">
        <v>0.45500000000000002</v>
      </c>
      <c r="G27">
        <v>0.17899999999999999</v>
      </c>
      <c r="H27">
        <v>0.16500000000000001</v>
      </c>
      <c r="I27">
        <v>462.2</v>
      </c>
      <c r="J27">
        <v>439.4</v>
      </c>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561</v>
      </c>
      <c r="D28">
        <v>547.6</v>
      </c>
      <c r="E28">
        <v>0.38500000000000001</v>
      </c>
      <c r="F28">
        <v>0.36</v>
      </c>
      <c r="G28">
        <v>0</v>
      </c>
      <c r="H28">
        <v>0</v>
      </c>
      <c r="I28">
        <v>426.8</v>
      </c>
      <c r="J28">
        <v>400.1</v>
      </c>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362.1</v>
      </c>
      <c r="D29">
        <v>351.8</v>
      </c>
      <c r="E29">
        <v>0.50900000000000001</v>
      </c>
      <c r="F29">
        <v>0.495</v>
      </c>
      <c r="G29">
        <v>0</v>
      </c>
      <c r="H29">
        <v>0</v>
      </c>
      <c r="I29">
        <v>315.3</v>
      </c>
      <c r="J29">
        <v>297.2</v>
      </c>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620.1</v>
      </c>
      <c r="D30">
        <v>569.29999999999995</v>
      </c>
      <c r="E30">
        <v>0.34300000000000003</v>
      </c>
      <c r="F30">
        <v>0.33300000000000002</v>
      </c>
      <c r="G30">
        <v>0</v>
      </c>
      <c r="H30">
        <v>0</v>
      </c>
      <c r="I30">
        <v>414.8</v>
      </c>
      <c r="J30">
        <v>379.3</v>
      </c>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902</v>
      </c>
      <c r="B31" s="138"/>
      <c r="C31">
        <v>483.8</v>
      </c>
      <c r="D31">
        <v>454.1</v>
      </c>
      <c r="E31">
        <v>0.47399999999999998</v>
      </c>
      <c r="F31">
        <v>0.47299999999999998</v>
      </c>
      <c r="G31">
        <v>0.13700000000000001</v>
      </c>
      <c r="H31">
        <v>0.13100000000000001</v>
      </c>
      <c r="I31">
        <v>431.4</v>
      </c>
      <c r="J31">
        <v>403.5</v>
      </c>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399.8</v>
      </c>
      <c r="D32">
        <v>392.2</v>
      </c>
      <c r="E32">
        <v>0.56200000000000006</v>
      </c>
      <c r="F32">
        <v>0.54500000000000004</v>
      </c>
      <c r="G32">
        <v>7.3999999999999996E-2</v>
      </c>
      <c r="H32">
        <v>8.5000000000000006E-2</v>
      </c>
      <c r="I32">
        <v>384.3</v>
      </c>
      <c r="J32">
        <v>362.3</v>
      </c>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597.6</v>
      </c>
      <c r="D33">
        <v>527.70000000000005</v>
      </c>
      <c r="E33">
        <v>0.36099999999999999</v>
      </c>
      <c r="F33">
        <v>0.38900000000000001</v>
      </c>
      <c r="G33">
        <v>1.2999999999999999E-2</v>
      </c>
      <c r="H33">
        <v>8.0000000000000002E-3</v>
      </c>
      <c r="I33">
        <v>377</v>
      </c>
      <c r="J33">
        <v>346</v>
      </c>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498.9</v>
      </c>
      <c r="D34">
        <v>489.3</v>
      </c>
      <c r="E34">
        <v>0.47099999999999997</v>
      </c>
      <c r="F34">
        <v>0.44</v>
      </c>
      <c r="G34">
        <v>0</v>
      </c>
      <c r="H34">
        <v>0</v>
      </c>
      <c r="I34">
        <v>411.1</v>
      </c>
      <c r="J34">
        <v>382.6</v>
      </c>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522.1</v>
      </c>
      <c r="D35">
        <v>495.4</v>
      </c>
      <c r="E35">
        <v>0.40200000000000002</v>
      </c>
      <c r="F35">
        <v>0.38</v>
      </c>
      <c r="G35">
        <v>0</v>
      </c>
      <c r="H35">
        <v>0</v>
      </c>
      <c r="I35">
        <v>388.9</v>
      </c>
      <c r="J35">
        <v>357.4</v>
      </c>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430.6</v>
      </c>
      <c r="D36">
        <v>438.6</v>
      </c>
      <c r="E36">
        <v>0.378</v>
      </c>
      <c r="F36">
        <v>0.33400000000000002</v>
      </c>
      <c r="G36">
        <v>0</v>
      </c>
      <c r="H36">
        <v>0</v>
      </c>
      <c r="I36">
        <v>264.7</v>
      </c>
      <c r="J36">
        <v>255.5</v>
      </c>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526.20000000000005</v>
      </c>
      <c r="D37">
        <v>499.5</v>
      </c>
      <c r="E37">
        <v>0.40699999999999997</v>
      </c>
      <c r="F37">
        <v>0.374</v>
      </c>
      <c r="G37">
        <v>0</v>
      </c>
      <c r="H37">
        <v>0</v>
      </c>
      <c r="I37">
        <v>394.7</v>
      </c>
      <c r="J37">
        <v>360.2</v>
      </c>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540.6</v>
      </c>
      <c r="D38">
        <v>546.6</v>
      </c>
      <c r="E38">
        <v>0.30099999999999999</v>
      </c>
      <c r="F38">
        <v>0.28299999999999997</v>
      </c>
      <c r="G38">
        <v>8.0000000000000002E-3</v>
      </c>
      <c r="H38">
        <v>0.01</v>
      </c>
      <c r="I38">
        <v>366.5</v>
      </c>
      <c r="J38">
        <v>363.3</v>
      </c>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435.6</v>
      </c>
      <c r="D39">
        <v>404.8</v>
      </c>
      <c r="E39">
        <v>0.45600000000000002</v>
      </c>
      <c r="F39">
        <v>0.45100000000000001</v>
      </c>
      <c r="G39">
        <v>6.5000000000000002E-2</v>
      </c>
      <c r="H39">
        <v>1.4999999999999999E-2</v>
      </c>
      <c r="I39">
        <v>352.2</v>
      </c>
      <c r="J39">
        <v>322</v>
      </c>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441.5</v>
      </c>
      <c r="D40">
        <v>397.6</v>
      </c>
      <c r="E40">
        <v>0.50600000000000001</v>
      </c>
      <c r="F40">
        <v>0.503</v>
      </c>
      <c r="G40">
        <v>0</v>
      </c>
      <c r="H40">
        <v>0</v>
      </c>
      <c r="I40">
        <v>406.4</v>
      </c>
      <c r="J40">
        <v>364.6</v>
      </c>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463.9</v>
      </c>
      <c r="D41">
        <v>434.9</v>
      </c>
      <c r="E41">
        <v>0.48699999999999999</v>
      </c>
      <c r="F41">
        <v>0.48699999999999999</v>
      </c>
      <c r="G41">
        <v>3.0000000000000001E-3</v>
      </c>
      <c r="H41">
        <v>1E-3</v>
      </c>
      <c r="I41">
        <v>389.7</v>
      </c>
      <c r="J41">
        <v>366.9</v>
      </c>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559.4</v>
      </c>
      <c r="D42">
        <v>501.5</v>
      </c>
      <c r="E42">
        <v>0.41799999999999998</v>
      </c>
      <c r="F42">
        <v>0.41199999999999998</v>
      </c>
      <c r="G42">
        <v>0</v>
      </c>
      <c r="H42">
        <v>0</v>
      </c>
      <c r="I42">
        <v>410.6</v>
      </c>
      <c r="J42">
        <v>363.5</v>
      </c>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518.4</v>
      </c>
      <c r="D43">
        <v>444.3</v>
      </c>
      <c r="E43">
        <v>0.41799999999999998</v>
      </c>
      <c r="F43">
        <v>0.42699999999999999</v>
      </c>
      <c r="G43">
        <v>0</v>
      </c>
      <c r="H43">
        <v>0</v>
      </c>
      <c r="I43">
        <v>371.2</v>
      </c>
      <c r="J43">
        <v>326.89999999999998</v>
      </c>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530.6</v>
      </c>
      <c r="D44">
        <v>520.20000000000005</v>
      </c>
      <c r="E44">
        <v>0.35699999999999998</v>
      </c>
      <c r="F44">
        <v>0.32400000000000001</v>
      </c>
      <c r="G44">
        <v>0</v>
      </c>
      <c r="H44">
        <v>0</v>
      </c>
      <c r="I44">
        <v>380.7</v>
      </c>
      <c r="J44">
        <v>353.2</v>
      </c>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524</v>
      </c>
      <c r="D45">
        <v>477.3</v>
      </c>
      <c r="E45">
        <v>0.49199999999999999</v>
      </c>
      <c r="F45">
        <v>0.496</v>
      </c>
      <c r="G45">
        <v>2E-3</v>
      </c>
      <c r="H45">
        <v>1E-3</v>
      </c>
      <c r="I45">
        <v>427.7</v>
      </c>
      <c r="J45">
        <v>393.2</v>
      </c>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505.1</v>
      </c>
      <c r="D46">
        <v>476.8</v>
      </c>
      <c r="E46">
        <v>0.32200000000000001</v>
      </c>
      <c r="F46">
        <v>0.315</v>
      </c>
      <c r="G46">
        <v>0</v>
      </c>
      <c r="H46">
        <v>0</v>
      </c>
      <c r="I46">
        <v>333.4</v>
      </c>
      <c r="J46">
        <v>311.2</v>
      </c>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351.4</v>
      </c>
      <c r="D47">
        <v>342.5</v>
      </c>
      <c r="E47">
        <v>0.53800000000000003</v>
      </c>
      <c r="F47">
        <v>0.52600000000000002</v>
      </c>
      <c r="G47">
        <v>0</v>
      </c>
      <c r="H47">
        <v>0</v>
      </c>
      <c r="I47">
        <v>332.1</v>
      </c>
      <c r="J47">
        <v>315</v>
      </c>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423.1</v>
      </c>
      <c r="D48">
        <v>434.7</v>
      </c>
      <c r="E48">
        <v>0.51200000000000001</v>
      </c>
      <c r="F48">
        <v>0.46800000000000003</v>
      </c>
      <c r="G48">
        <v>7.0000000000000001E-3</v>
      </c>
      <c r="H48">
        <v>8.0000000000000002E-3</v>
      </c>
      <c r="I48">
        <v>403.8</v>
      </c>
      <c r="J48">
        <v>380.5</v>
      </c>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880</v>
      </c>
      <c r="D49" t="s">
        <v>880</v>
      </c>
      <c r="E49" t="s">
        <v>880</v>
      </c>
      <c r="F49" t="s">
        <v>880</v>
      </c>
      <c r="G49" t="s">
        <v>880</v>
      </c>
      <c r="H49" t="s">
        <v>880</v>
      </c>
      <c r="I49" t="s">
        <v>880</v>
      </c>
      <c r="J49" t="s">
        <v>880</v>
      </c>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494.8</v>
      </c>
      <c r="D50">
        <v>479.4</v>
      </c>
      <c r="E50">
        <v>0.505</v>
      </c>
      <c r="F50">
        <v>0.48199999999999998</v>
      </c>
      <c r="G50">
        <v>0.32300000000000001</v>
      </c>
      <c r="H50">
        <v>0.44500000000000001</v>
      </c>
      <c r="I50">
        <v>430</v>
      </c>
      <c r="J50">
        <v>398.7</v>
      </c>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403</v>
      </c>
      <c r="D51">
        <v>355.4</v>
      </c>
      <c r="E51">
        <v>0.28100000000000003</v>
      </c>
      <c r="F51">
        <v>0.27700000000000002</v>
      </c>
      <c r="G51">
        <v>0</v>
      </c>
      <c r="H51">
        <v>0</v>
      </c>
      <c r="I51">
        <v>297.8</v>
      </c>
      <c r="J51">
        <v>252.8</v>
      </c>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513.5</v>
      </c>
      <c r="D52">
        <v>488.7</v>
      </c>
      <c r="E52">
        <v>0.41899999999999998</v>
      </c>
      <c r="F52">
        <v>0.40100000000000002</v>
      </c>
      <c r="G52">
        <v>0</v>
      </c>
      <c r="H52">
        <v>0</v>
      </c>
      <c r="I52">
        <v>396.7</v>
      </c>
      <c r="J52">
        <v>367.7</v>
      </c>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421.1</v>
      </c>
      <c r="D53">
        <v>393.4</v>
      </c>
      <c r="E53">
        <v>0.44900000000000001</v>
      </c>
      <c r="F53">
        <v>0.44500000000000001</v>
      </c>
      <c r="G53">
        <v>0</v>
      </c>
      <c r="H53">
        <v>0</v>
      </c>
      <c r="I53">
        <v>339.8</v>
      </c>
      <c r="J53">
        <v>317.10000000000002</v>
      </c>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485.2</v>
      </c>
      <c r="D54">
        <v>467.3</v>
      </c>
      <c r="E54">
        <v>0.41</v>
      </c>
      <c r="F54">
        <v>0.40799999999999997</v>
      </c>
      <c r="G54">
        <v>0</v>
      </c>
      <c r="H54">
        <v>0</v>
      </c>
      <c r="I54">
        <v>404.1</v>
      </c>
      <c r="J54">
        <v>391.3</v>
      </c>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473.8</v>
      </c>
      <c r="D55">
        <v>435.7</v>
      </c>
      <c r="E55">
        <v>0.47599999999999998</v>
      </c>
      <c r="F55">
        <v>0.46500000000000002</v>
      </c>
      <c r="G55">
        <v>0</v>
      </c>
      <c r="H55">
        <v>0</v>
      </c>
      <c r="I55">
        <v>395.2</v>
      </c>
      <c r="J55">
        <v>357.9</v>
      </c>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538.5</v>
      </c>
      <c r="D56">
        <v>530</v>
      </c>
      <c r="E56">
        <v>0.45800000000000002</v>
      </c>
      <c r="F56">
        <v>0.45100000000000001</v>
      </c>
      <c r="G56">
        <v>0.17599999999999999</v>
      </c>
      <c r="H56">
        <v>8.6999999999999994E-2</v>
      </c>
      <c r="I56">
        <v>430.4</v>
      </c>
      <c r="J56">
        <v>417.7</v>
      </c>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464.4</v>
      </c>
      <c r="D57">
        <v>438.4</v>
      </c>
      <c r="E57">
        <v>0.434</v>
      </c>
      <c r="F57">
        <v>0.41499999999999998</v>
      </c>
      <c r="G57">
        <v>0</v>
      </c>
      <c r="H57">
        <v>0</v>
      </c>
      <c r="I57">
        <v>347.5</v>
      </c>
      <c r="J57">
        <v>317.10000000000002</v>
      </c>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445</v>
      </c>
      <c r="D58">
        <v>406.5</v>
      </c>
      <c r="E58">
        <v>0.53300000000000003</v>
      </c>
      <c r="F58">
        <v>0.51300000000000001</v>
      </c>
      <c r="G58">
        <v>0</v>
      </c>
      <c r="H58">
        <v>0</v>
      </c>
      <c r="I58">
        <v>410.1</v>
      </c>
      <c r="J58">
        <v>359.1</v>
      </c>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428.7</v>
      </c>
      <c r="D59">
        <v>407.2</v>
      </c>
      <c r="E59">
        <v>0.502</v>
      </c>
      <c r="F59">
        <v>0.495</v>
      </c>
      <c r="G59">
        <v>0</v>
      </c>
      <c r="H59">
        <v>0</v>
      </c>
      <c r="I59">
        <v>408.4</v>
      </c>
      <c r="J59">
        <v>381</v>
      </c>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420</v>
      </c>
      <c r="D60">
        <v>392.7</v>
      </c>
      <c r="E60">
        <v>0.55300000000000005</v>
      </c>
      <c r="F60">
        <v>0.52800000000000002</v>
      </c>
      <c r="G60">
        <v>0</v>
      </c>
      <c r="H60">
        <v>0</v>
      </c>
      <c r="I60">
        <v>404.5</v>
      </c>
      <c r="J60">
        <v>359.2</v>
      </c>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473.2</v>
      </c>
      <c r="D61">
        <v>467.1</v>
      </c>
      <c r="E61">
        <v>0.56299999999999994</v>
      </c>
      <c r="F61">
        <v>0.51700000000000002</v>
      </c>
      <c r="G61">
        <v>2.1999999999999999E-2</v>
      </c>
      <c r="H61">
        <v>7.0000000000000001E-3</v>
      </c>
      <c r="I61">
        <v>496.9</v>
      </c>
      <c r="J61">
        <v>442.4</v>
      </c>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444.2</v>
      </c>
      <c r="D62">
        <v>413.3</v>
      </c>
      <c r="E62">
        <v>0.57599999999999996</v>
      </c>
      <c r="F62">
        <v>0.56399999999999995</v>
      </c>
      <c r="G62">
        <v>0</v>
      </c>
      <c r="H62">
        <v>1E-3</v>
      </c>
      <c r="I62">
        <v>475.8</v>
      </c>
      <c r="J62">
        <v>429.7</v>
      </c>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470.8</v>
      </c>
      <c r="D63">
        <v>446.2</v>
      </c>
      <c r="E63">
        <v>0.43</v>
      </c>
      <c r="F63">
        <v>0.41299999999999998</v>
      </c>
      <c r="G63">
        <v>0</v>
      </c>
      <c r="H63">
        <v>0</v>
      </c>
      <c r="I63">
        <v>400.2</v>
      </c>
      <c r="J63">
        <v>369.7</v>
      </c>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424.6</v>
      </c>
      <c r="D64">
        <v>411.3</v>
      </c>
      <c r="E64">
        <v>0.47</v>
      </c>
      <c r="F64">
        <v>0.45700000000000002</v>
      </c>
      <c r="G64">
        <v>0</v>
      </c>
      <c r="H64">
        <v>0</v>
      </c>
      <c r="I64">
        <v>382.5</v>
      </c>
      <c r="J64">
        <v>362</v>
      </c>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472.2</v>
      </c>
      <c r="D65">
        <v>443</v>
      </c>
      <c r="E65">
        <v>0.46700000000000003</v>
      </c>
      <c r="F65">
        <v>0.46</v>
      </c>
      <c r="G65">
        <v>0</v>
      </c>
      <c r="H65">
        <v>0</v>
      </c>
      <c r="I65">
        <v>394</v>
      </c>
      <c r="J65">
        <v>363.6</v>
      </c>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303</v>
      </c>
      <c r="D66">
        <v>308</v>
      </c>
      <c r="E66">
        <v>0.31900000000000001</v>
      </c>
      <c r="F66">
        <v>0.29799999999999999</v>
      </c>
      <c r="G66">
        <v>0</v>
      </c>
      <c r="H66">
        <v>0</v>
      </c>
      <c r="I66">
        <v>398.2</v>
      </c>
      <c r="J66">
        <v>322.8</v>
      </c>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343.8</v>
      </c>
      <c r="D67">
        <v>321.7</v>
      </c>
      <c r="E67">
        <v>0.54800000000000004</v>
      </c>
      <c r="F67">
        <v>0.53500000000000003</v>
      </c>
      <c r="G67">
        <v>0</v>
      </c>
      <c r="H67">
        <v>0</v>
      </c>
      <c r="I67">
        <v>334.3</v>
      </c>
      <c r="J67">
        <v>303.89999999999998</v>
      </c>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518.1</v>
      </c>
      <c r="D68">
        <v>482.8</v>
      </c>
      <c r="E68">
        <v>0.35799999999999998</v>
      </c>
      <c r="F68">
        <v>0.36299999999999999</v>
      </c>
      <c r="G68">
        <v>0</v>
      </c>
      <c r="H68">
        <v>0</v>
      </c>
      <c r="I68">
        <v>406.5</v>
      </c>
      <c r="J68">
        <v>382.9</v>
      </c>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667.3</v>
      </c>
      <c r="D69">
        <v>618.29999999999995</v>
      </c>
      <c r="E69">
        <v>0.34</v>
      </c>
      <c r="F69">
        <v>0.34100000000000003</v>
      </c>
      <c r="G69">
        <v>0</v>
      </c>
      <c r="H69">
        <v>7.0000000000000001E-3</v>
      </c>
      <c r="I69">
        <v>492.3</v>
      </c>
      <c r="J69">
        <v>457.1</v>
      </c>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362.8</v>
      </c>
      <c r="D70">
        <v>353.3</v>
      </c>
      <c r="E70">
        <v>0.59199999999999997</v>
      </c>
      <c r="F70">
        <v>0.56799999999999995</v>
      </c>
      <c r="G70">
        <v>0</v>
      </c>
      <c r="H70">
        <v>0</v>
      </c>
      <c r="I70">
        <v>436.5</v>
      </c>
      <c r="J70">
        <v>405.4</v>
      </c>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604.79999999999995</v>
      </c>
      <c r="D71">
        <v>565.20000000000005</v>
      </c>
      <c r="E71">
        <v>0.38100000000000001</v>
      </c>
      <c r="F71">
        <v>0.371</v>
      </c>
      <c r="G71">
        <v>0.106</v>
      </c>
      <c r="H71">
        <v>9.6000000000000002E-2</v>
      </c>
      <c r="I71">
        <v>468.4</v>
      </c>
      <c r="J71">
        <v>428</v>
      </c>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586.70000000000005</v>
      </c>
      <c r="D72">
        <v>550.1</v>
      </c>
      <c r="E72">
        <v>0.28599999999999998</v>
      </c>
      <c r="F72">
        <v>0.30499999999999999</v>
      </c>
      <c r="G72">
        <v>0.05</v>
      </c>
      <c r="H72">
        <v>1.2999999999999999E-2</v>
      </c>
      <c r="I72">
        <v>356</v>
      </c>
      <c r="J72">
        <v>337.1</v>
      </c>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470.4</v>
      </c>
      <c r="D73">
        <v>426.3</v>
      </c>
      <c r="E73">
        <v>0.39300000000000002</v>
      </c>
      <c r="F73">
        <v>0.40100000000000002</v>
      </c>
      <c r="G73">
        <v>0</v>
      </c>
      <c r="H73">
        <v>0</v>
      </c>
      <c r="I73">
        <v>382.1</v>
      </c>
      <c r="J73">
        <v>353.7</v>
      </c>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516.5</v>
      </c>
      <c r="D74">
        <v>495.6</v>
      </c>
      <c r="E74">
        <v>0.314</v>
      </c>
      <c r="F74">
        <v>0.314</v>
      </c>
      <c r="G74">
        <v>0</v>
      </c>
      <c r="H74">
        <v>0</v>
      </c>
      <c r="I74">
        <v>296.5</v>
      </c>
      <c r="J74">
        <v>283.2</v>
      </c>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527.70000000000005</v>
      </c>
      <c r="D75">
        <v>496.4</v>
      </c>
      <c r="E75">
        <v>0.38500000000000001</v>
      </c>
      <c r="F75">
        <v>0.371</v>
      </c>
      <c r="G75">
        <v>8.0000000000000002E-3</v>
      </c>
      <c r="H75">
        <v>0</v>
      </c>
      <c r="I75">
        <v>358.8</v>
      </c>
      <c r="J75">
        <v>331.8</v>
      </c>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497.6</v>
      </c>
      <c r="D76">
        <v>456.5</v>
      </c>
      <c r="E76">
        <v>0.48499999999999999</v>
      </c>
      <c r="F76">
        <v>0.50700000000000001</v>
      </c>
      <c r="G76">
        <v>9.9000000000000005E-2</v>
      </c>
      <c r="H76">
        <v>0.13500000000000001</v>
      </c>
      <c r="I76">
        <v>483.4</v>
      </c>
      <c r="J76">
        <v>466</v>
      </c>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415.6</v>
      </c>
      <c r="D77">
        <v>411.8</v>
      </c>
      <c r="E77">
        <v>0.52700000000000002</v>
      </c>
      <c r="F77">
        <v>0.505</v>
      </c>
      <c r="G77">
        <v>0</v>
      </c>
      <c r="H77">
        <v>0</v>
      </c>
      <c r="I77">
        <v>376.4</v>
      </c>
      <c r="J77">
        <v>357.5</v>
      </c>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593.70000000000005</v>
      </c>
      <c r="D78">
        <v>575.1</v>
      </c>
      <c r="E78">
        <v>0.32400000000000001</v>
      </c>
      <c r="F78">
        <v>0.317</v>
      </c>
      <c r="G78">
        <v>0.374</v>
      </c>
      <c r="H78">
        <v>0.42099999999999999</v>
      </c>
      <c r="I78">
        <v>425.9</v>
      </c>
      <c r="J78">
        <v>407.2</v>
      </c>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649</v>
      </c>
      <c r="D79">
        <v>612.9</v>
      </c>
      <c r="E79">
        <v>0.24299999999999999</v>
      </c>
      <c r="F79">
        <v>0.23499999999999999</v>
      </c>
      <c r="G79">
        <v>0</v>
      </c>
      <c r="H79">
        <v>0</v>
      </c>
      <c r="I79">
        <v>354.8</v>
      </c>
      <c r="J79">
        <v>331.2</v>
      </c>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574.79999999999995</v>
      </c>
      <c r="D80">
        <v>534.9</v>
      </c>
      <c r="E80">
        <v>0.373</v>
      </c>
      <c r="F80">
        <v>0.38400000000000001</v>
      </c>
      <c r="G80">
        <v>0.18</v>
      </c>
      <c r="H80">
        <v>0.183</v>
      </c>
      <c r="I80">
        <v>394.4</v>
      </c>
      <c r="J80">
        <v>372.1</v>
      </c>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546</v>
      </c>
      <c r="D81">
        <v>498.6</v>
      </c>
      <c r="E81">
        <v>0.47299999999999998</v>
      </c>
      <c r="F81">
        <v>0.46600000000000003</v>
      </c>
      <c r="G81">
        <v>0.184</v>
      </c>
      <c r="H81">
        <v>0.13700000000000001</v>
      </c>
      <c r="I81">
        <v>484.2</v>
      </c>
      <c r="J81">
        <v>437.1</v>
      </c>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365.6</v>
      </c>
      <c r="D82">
        <v>334.5</v>
      </c>
      <c r="E82">
        <v>0.51500000000000001</v>
      </c>
      <c r="F82">
        <v>0.52700000000000002</v>
      </c>
      <c r="G82">
        <v>0</v>
      </c>
      <c r="H82">
        <v>0</v>
      </c>
      <c r="I82">
        <v>368</v>
      </c>
      <c r="J82">
        <v>346.7</v>
      </c>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428.2</v>
      </c>
      <c r="D83">
        <v>401.5</v>
      </c>
      <c r="E83">
        <v>0.55100000000000005</v>
      </c>
      <c r="F83">
        <v>0.54</v>
      </c>
      <c r="G83">
        <v>4.2999999999999997E-2</v>
      </c>
      <c r="H83">
        <v>3.5000000000000003E-2</v>
      </c>
      <c r="I83">
        <v>449.2</v>
      </c>
      <c r="J83">
        <v>409.2</v>
      </c>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555.6</v>
      </c>
      <c r="D84">
        <v>527.20000000000005</v>
      </c>
      <c r="E84">
        <v>0.44800000000000001</v>
      </c>
      <c r="F84">
        <v>0.436</v>
      </c>
      <c r="G84">
        <v>6.0000000000000001E-3</v>
      </c>
      <c r="H84">
        <v>5.0000000000000001E-3</v>
      </c>
      <c r="I84">
        <v>457.8</v>
      </c>
      <c r="J84">
        <v>426.8</v>
      </c>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403.3</v>
      </c>
      <c r="D85">
        <v>377.9</v>
      </c>
      <c r="E85">
        <v>0.59799999999999998</v>
      </c>
      <c r="F85">
        <v>0.59099999999999997</v>
      </c>
      <c r="G85">
        <v>0.02</v>
      </c>
      <c r="H85">
        <v>2.8000000000000001E-2</v>
      </c>
      <c r="I85">
        <v>477.4</v>
      </c>
      <c r="J85">
        <v>441.4</v>
      </c>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431.5</v>
      </c>
      <c r="D86">
        <v>423.7</v>
      </c>
      <c r="E86">
        <v>0.437</v>
      </c>
      <c r="F86">
        <v>0.432</v>
      </c>
      <c r="G86">
        <v>0</v>
      </c>
      <c r="H86">
        <v>0</v>
      </c>
      <c r="I86">
        <v>357.4</v>
      </c>
      <c r="J86">
        <v>349</v>
      </c>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577.1</v>
      </c>
      <c r="D87">
        <v>542.70000000000005</v>
      </c>
      <c r="E87">
        <v>0.36399999999999999</v>
      </c>
      <c r="F87">
        <v>0.35499999999999998</v>
      </c>
      <c r="G87">
        <v>1.9E-2</v>
      </c>
      <c r="H87">
        <v>4.4999999999999998E-2</v>
      </c>
      <c r="I87">
        <v>393.3</v>
      </c>
      <c r="J87">
        <v>364.3</v>
      </c>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318.8</v>
      </c>
      <c r="D88">
        <v>289.60000000000002</v>
      </c>
      <c r="E88">
        <v>0.47599999999999998</v>
      </c>
      <c r="F88">
        <v>0.48399999999999999</v>
      </c>
      <c r="G88">
        <v>0</v>
      </c>
      <c r="H88">
        <v>0</v>
      </c>
      <c r="I88">
        <v>240.2</v>
      </c>
      <c r="J88">
        <v>224.2</v>
      </c>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362.3</v>
      </c>
      <c r="D89">
        <v>335.9</v>
      </c>
      <c r="E89">
        <v>0.56599999999999995</v>
      </c>
      <c r="F89">
        <v>0.55000000000000004</v>
      </c>
      <c r="G89">
        <v>0</v>
      </c>
      <c r="H89">
        <v>0</v>
      </c>
      <c r="I89">
        <v>372.2</v>
      </c>
      <c r="J89">
        <v>335.2</v>
      </c>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265.5</v>
      </c>
      <c r="D90">
        <v>255.7</v>
      </c>
      <c r="E90">
        <v>0.61</v>
      </c>
      <c r="F90">
        <v>0.59499999999999997</v>
      </c>
      <c r="G90">
        <v>0</v>
      </c>
      <c r="H90">
        <v>0</v>
      </c>
      <c r="I90">
        <v>324.7</v>
      </c>
      <c r="J90">
        <v>300.10000000000002</v>
      </c>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481.9</v>
      </c>
      <c r="D91">
        <v>459.4</v>
      </c>
      <c r="E91">
        <v>0.36699999999999999</v>
      </c>
      <c r="F91">
        <v>0.34300000000000003</v>
      </c>
      <c r="G91">
        <v>0</v>
      </c>
      <c r="H91">
        <v>0</v>
      </c>
      <c r="I91">
        <v>334.3</v>
      </c>
      <c r="J91">
        <v>307.10000000000002</v>
      </c>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468.9</v>
      </c>
      <c r="D92">
        <v>458.2</v>
      </c>
      <c r="E92">
        <v>0.46300000000000002</v>
      </c>
      <c r="F92">
        <v>0.435</v>
      </c>
      <c r="G92">
        <v>0</v>
      </c>
      <c r="H92">
        <v>0</v>
      </c>
      <c r="I92">
        <v>377.1</v>
      </c>
      <c r="J92">
        <v>353.5</v>
      </c>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483.8</v>
      </c>
      <c r="D93">
        <v>450</v>
      </c>
      <c r="E93">
        <v>0.40500000000000003</v>
      </c>
      <c r="F93">
        <v>0.39700000000000002</v>
      </c>
      <c r="G93">
        <v>0</v>
      </c>
      <c r="H93">
        <v>0</v>
      </c>
      <c r="I93">
        <v>402.2</v>
      </c>
      <c r="J93">
        <v>368.4</v>
      </c>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442.4</v>
      </c>
      <c r="D94">
        <v>415.4</v>
      </c>
      <c r="E94">
        <v>0.60099999999999998</v>
      </c>
      <c r="F94">
        <v>0.58399999999999996</v>
      </c>
      <c r="G94">
        <v>1E-3</v>
      </c>
      <c r="H94">
        <v>1E-3</v>
      </c>
      <c r="I94">
        <v>518.6</v>
      </c>
      <c r="J94">
        <v>468.3</v>
      </c>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526.6</v>
      </c>
      <c r="D95">
        <v>504.3</v>
      </c>
      <c r="E95">
        <v>0.41799999999999998</v>
      </c>
      <c r="F95">
        <v>0.38600000000000001</v>
      </c>
      <c r="G95">
        <v>0</v>
      </c>
      <c r="H95">
        <v>0</v>
      </c>
      <c r="I95">
        <v>392.2</v>
      </c>
      <c r="J95">
        <v>358.7</v>
      </c>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900</v>
      </c>
      <c r="B96" s="138"/>
      <c r="C96">
        <v>507.3</v>
      </c>
      <c r="D96">
        <v>470</v>
      </c>
      <c r="E96">
        <v>0.40400000000000003</v>
      </c>
      <c r="F96">
        <v>0.39100000000000001</v>
      </c>
      <c r="G96">
        <v>0</v>
      </c>
      <c r="H96">
        <v>0</v>
      </c>
      <c r="I96">
        <v>414.8</v>
      </c>
      <c r="J96">
        <v>375.5</v>
      </c>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549.29999999999995</v>
      </c>
      <c r="D97">
        <v>529</v>
      </c>
      <c r="E97">
        <v>0.433</v>
      </c>
      <c r="F97">
        <v>0.41099999999999998</v>
      </c>
      <c r="G97">
        <v>6.0000000000000001E-3</v>
      </c>
      <c r="H97">
        <v>7.0000000000000001E-3</v>
      </c>
      <c r="I97">
        <v>453.6</v>
      </c>
      <c r="J97">
        <v>421</v>
      </c>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431.4</v>
      </c>
      <c r="D98">
        <v>412.8</v>
      </c>
      <c r="E98">
        <v>0.38900000000000001</v>
      </c>
      <c r="F98">
        <v>0.377</v>
      </c>
      <c r="G98">
        <v>0</v>
      </c>
      <c r="H98">
        <v>0</v>
      </c>
      <c r="I98">
        <v>343.5</v>
      </c>
      <c r="J98">
        <v>321.2</v>
      </c>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443.6</v>
      </c>
      <c r="D99">
        <v>431.9</v>
      </c>
      <c r="E99">
        <v>0.439</v>
      </c>
      <c r="F99">
        <v>0.42199999999999999</v>
      </c>
      <c r="G99">
        <v>0</v>
      </c>
      <c r="H99">
        <v>0</v>
      </c>
      <c r="I99">
        <v>342.1</v>
      </c>
      <c r="J99">
        <v>323.2</v>
      </c>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431.1</v>
      </c>
      <c r="D100">
        <v>421.5</v>
      </c>
      <c r="E100">
        <v>0.441</v>
      </c>
      <c r="F100">
        <v>0.44</v>
      </c>
      <c r="G100">
        <v>0</v>
      </c>
      <c r="H100">
        <v>0</v>
      </c>
      <c r="I100">
        <v>384.6</v>
      </c>
      <c r="J100">
        <v>379.8</v>
      </c>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433.7</v>
      </c>
      <c r="D101">
        <v>410.2</v>
      </c>
      <c r="E101">
        <v>0.51300000000000001</v>
      </c>
      <c r="F101">
        <v>0.53500000000000003</v>
      </c>
      <c r="G101">
        <v>0</v>
      </c>
      <c r="H101">
        <v>0</v>
      </c>
      <c r="I101">
        <v>377</v>
      </c>
      <c r="J101">
        <v>374.1</v>
      </c>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597</v>
      </c>
      <c r="D102">
        <v>530.20000000000005</v>
      </c>
      <c r="E102">
        <v>0.309</v>
      </c>
      <c r="F102">
        <v>0.34200000000000003</v>
      </c>
      <c r="G102">
        <v>0</v>
      </c>
      <c r="H102">
        <v>0</v>
      </c>
      <c r="I102">
        <v>331.9</v>
      </c>
      <c r="J102">
        <v>313</v>
      </c>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453.1</v>
      </c>
      <c r="D103">
        <v>432</v>
      </c>
      <c r="E103">
        <v>0.54200000000000004</v>
      </c>
      <c r="F103">
        <v>0.51700000000000002</v>
      </c>
      <c r="G103">
        <v>0</v>
      </c>
      <c r="H103">
        <v>0</v>
      </c>
      <c r="I103">
        <v>421.7</v>
      </c>
      <c r="J103">
        <v>383.1</v>
      </c>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419.5</v>
      </c>
      <c r="D104">
        <v>398.5</v>
      </c>
      <c r="E104">
        <v>0.54300000000000004</v>
      </c>
      <c r="F104">
        <v>0.51800000000000002</v>
      </c>
      <c r="G104">
        <v>0</v>
      </c>
      <c r="H104">
        <v>0</v>
      </c>
      <c r="I104">
        <v>370.8</v>
      </c>
      <c r="J104">
        <v>337</v>
      </c>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517.29999999999995</v>
      </c>
      <c r="D105">
        <v>483</v>
      </c>
      <c r="E105">
        <v>0.41799999999999998</v>
      </c>
      <c r="F105">
        <v>0.39700000000000002</v>
      </c>
      <c r="G105">
        <v>0</v>
      </c>
      <c r="H105">
        <v>0</v>
      </c>
      <c r="I105">
        <v>414.8</v>
      </c>
      <c r="J105">
        <v>375.3</v>
      </c>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516.5</v>
      </c>
      <c r="D106">
        <v>483.6</v>
      </c>
      <c r="E106">
        <v>0.50900000000000001</v>
      </c>
      <c r="F106">
        <v>0.48799999999999999</v>
      </c>
      <c r="G106">
        <v>0.46800000000000003</v>
      </c>
      <c r="H106">
        <v>0.504</v>
      </c>
      <c r="I106">
        <v>460.4</v>
      </c>
      <c r="J106">
        <v>412.8</v>
      </c>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487.8</v>
      </c>
      <c r="D107">
        <v>450.9</v>
      </c>
      <c r="E107">
        <v>0.255</v>
      </c>
      <c r="F107">
        <v>0.245</v>
      </c>
      <c r="G107">
        <v>0</v>
      </c>
      <c r="H107">
        <v>0</v>
      </c>
      <c r="I107">
        <v>301.89999999999998</v>
      </c>
      <c r="J107">
        <v>266.8</v>
      </c>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468.5</v>
      </c>
      <c r="D108">
        <v>447.3</v>
      </c>
      <c r="E108">
        <v>0.35199999999999998</v>
      </c>
      <c r="F108">
        <v>0.35799999999999998</v>
      </c>
      <c r="G108">
        <v>0</v>
      </c>
      <c r="H108">
        <v>0</v>
      </c>
      <c r="I108">
        <v>316.8</v>
      </c>
      <c r="J108">
        <v>307.39999999999998</v>
      </c>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561.5</v>
      </c>
      <c r="D109">
        <v>551.4</v>
      </c>
      <c r="E109">
        <v>0.39800000000000002</v>
      </c>
      <c r="F109">
        <v>0.377</v>
      </c>
      <c r="G109">
        <v>0</v>
      </c>
      <c r="H109">
        <v>0</v>
      </c>
      <c r="I109">
        <v>423.4</v>
      </c>
      <c r="J109">
        <v>403.8</v>
      </c>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903</v>
      </c>
      <c r="B110" s="138"/>
      <c r="C110">
        <v>424.1</v>
      </c>
      <c r="D110">
        <v>419.4</v>
      </c>
      <c r="E110">
        <v>0.45300000000000001</v>
      </c>
      <c r="F110">
        <v>0.44600000000000001</v>
      </c>
      <c r="G110">
        <v>0</v>
      </c>
      <c r="H110">
        <v>0</v>
      </c>
      <c r="I110">
        <v>369.8</v>
      </c>
      <c r="J110">
        <v>363.2</v>
      </c>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407.5</v>
      </c>
      <c r="D111">
        <v>395.6</v>
      </c>
      <c r="E111">
        <v>0.54300000000000004</v>
      </c>
      <c r="F111">
        <v>0.52400000000000002</v>
      </c>
      <c r="G111">
        <v>0</v>
      </c>
      <c r="H111">
        <v>0</v>
      </c>
      <c r="I111">
        <v>402.1</v>
      </c>
      <c r="J111">
        <v>376.2</v>
      </c>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454.8</v>
      </c>
      <c r="D112">
        <v>460</v>
      </c>
      <c r="E112">
        <v>0.44400000000000001</v>
      </c>
      <c r="F112">
        <v>0.41</v>
      </c>
      <c r="G112">
        <v>0</v>
      </c>
      <c r="H112">
        <v>0</v>
      </c>
      <c r="I112">
        <v>404.3</v>
      </c>
      <c r="J112">
        <v>385.5</v>
      </c>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649.20000000000005</v>
      </c>
      <c r="D113">
        <v>615.5</v>
      </c>
      <c r="E113">
        <v>0.317</v>
      </c>
      <c r="F113">
        <v>0.317</v>
      </c>
      <c r="G113">
        <v>1.9E-2</v>
      </c>
      <c r="H113">
        <v>1.2E-2</v>
      </c>
      <c r="I113">
        <v>457.3</v>
      </c>
      <c r="J113">
        <v>431.8</v>
      </c>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575.29999999999995</v>
      </c>
      <c r="D114">
        <v>534.6</v>
      </c>
      <c r="E114">
        <v>0.33100000000000002</v>
      </c>
      <c r="F114">
        <v>0.32700000000000001</v>
      </c>
      <c r="G114">
        <v>0</v>
      </c>
      <c r="H114">
        <v>0</v>
      </c>
      <c r="I114">
        <v>393.2</v>
      </c>
      <c r="J114">
        <v>365.7</v>
      </c>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456.5</v>
      </c>
      <c r="D115">
        <v>438.2</v>
      </c>
      <c r="E115">
        <v>0.437</v>
      </c>
      <c r="F115">
        <v>0.41799999999999998</v>
      </c>
      <c r="G115">
        <v>0</v>
      </c>
      <c r="H115">
        <v>0</v>
      </c>
      <c r="I115">
        <v>355.8</v>
      </c>
      <c r="J115">
        <v>330.8</v>
      </c>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469.2</v>
      </c>
      <c r="D116">
        <v>431.3</v>
      </c>
      <c r="E116">
        <v>0.50800000000000001</v>
      </c>
      <c r="F116">
        <v>0.51500000000000001</v>
      </c>
      <c r="G116">
        <v>2.9000000000000001E-2</v>
      </c>
      <c r="H116">
        <v>4.0000000000000001E-3</v>
      </c>
      <c r="I116">
        <v>436.7</v>
      </c>
      <c r="J116">
        <v>407.8</v>
      </c>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509.4</v>
      </c>
      <c r="D117">
        <v>456.6</v>
      </c>
      <c r="E117">
        <v>0.27200000000000002</v>
      </c>
      <c r="F117">
        <v>0.27300000000000002</v>
      </c>
      <c r="G117">
        <v>0</v>
      </c>
      <c r="H117">
        <v>0</v>
      </c>
      <c r="I117">
        <v>320.5</v>
      </c>
      <c r="J117">
        <v>287.39999999999998</v>
      </c>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483.5</v>
      </c>
      <c r="D118">
        <v>475.2</v>
      </c>
      <c r="E118">
        <v>0.42399999999999999</v>
      </c>
      <c r="F118">
        <v>0.40400000000000003</v>
      </c>
      <c r="G118">
        <v>0</v>
      </c>
      <c r="H118">
        <v>0</v>
      </c>
      <c r="I118">
        <v>345.9</v>
      </c>
      <c r="J118">
        <v>331.8</v>
      </c>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565.6</v>
      </c>
      <c r="D119">
        <v>529</v>
      </c>
      <c r="E119">
        <v>0.31</v>
      </c>
      <c r="F119">
        <v>0.30399999999999999</v>
      </c>
      <c r="G119">
        <v>0</v>
      </c>
      <c r="H119">
        <v>0</v>
      </c>
      <c r="I119">
        <v>400.3</v>
      </c>
      <c r="J119">
        <v>375.2</v>
      </c>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602.5</v>
      </c>
      <c r="D120">
        <v>576.29999999999995</v>
      </c>
      <c r="E120">
        <v>0.315</v>
      </c>
      <c r="F120">
        <v>0.29199999999999998</v>
      </c>
      <c r="G120">
        <v>2.7E-2</v>
      </c>
      <c r="H120">
        <v>3.0000000000000001E-3</v>
      </c>
      <c r="I120">
        <v>370.6</v>
      </c>
      <c r="J120">
        <v>343.5</v>
      </c>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365.8</v>
      </c>
      <c r="D121">
        <v>360</v>
      </c>
      <c r="E121">
        <v>0.59299999999999997</v>
      </c>
      <c r="F121">
        <v>0.56399999999999995</v>
      </c>
      <c r="G121">
        <v>0</v>
      </c>
      <c r="H121">
        <v>0</v>
      </c>
      <c r="I121">
        <v>376.5</v>
      </c>
      <c r="J121">
        <v>347.3</v>
      </c>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517</v>
      </c>
      <c r="D122">
        <v>511.9</v>
      </c>
      <c r="E122">
        <v>0.29099999999999998</v>
      </c>
      <c r="F122">
        <v>0.26300000000000001</v>
      </c>
      <c r="G122">
        <v>0</v>
      </c>
      <c r="H122">
        <v>0</v>
      </c>
      <c r="I122">
        <v>333.3</v>
      </c>
      <c r="J122">
        <v>316.39999999999998</v>
      </c>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646.20000000000005</v>
      </c>
      <c r="D123">
        <v>598.9</v>
      </c>
      <c r="E123">
        <v>0.36899999999999999</v>
      </c>
      <c r="F123">
        <v>0.35399999999999998</v>
      </c>
      <c r="G123">
        <v>0</v>
      </c>
      <c r="H123">
        <v>6.0000000000000001E-3</v>
      </c>
      <c r="I123">
        <v>466.3</v>
      </c>
      <c r="J123">
        <v>422.3</v>
      </c>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427.8</v>
      </c>
      <c r="D124">
        <v>400.9</v>
      </c>
      <c r="E124">
        <v>0.48199999999999998</v>
      </c>
      <c r="F124">
        <v>0.48399999999999999</v>
      </c>
      <c r="G124">
        <v>0</v>
      </c>
      <c r="H124">
        <v>0</v>
      </c>
      <c r="I124">
        <v>397.4</v>
      </c>
      <c r="J124">
        <v>378.3</v>
      </c>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354.7</v>
      </c>
      <c r="D125">
        <v>334.7</v>
      </c>
      <c r="E125">
        <v>0.26300000000000001</v>
      </c>
      <c r="F125">
        <v>0.25700000000000001</v>
      </c>
      <c r="G125">
        <v>0</v>
      </c>
      <c r="H125">
        <v>0</v>
      </c>
      <c r="I125">
        <v>243</v>
      </c>
      <c r="J125">
        <v>227.6</v>
      </c>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594.9</v>
      </c>
      <c r="D126">
        <v>557.29999999999995</v>
      </c>
      <c r="E126">
        <v>0.38600000000000001</v>
      </c>
      <c r="F126">
        <v>0.38700000000000001</v>
      </c>
      <c r="G126">
        <v>5.0999999999999997E-2</v>
      </c>
      <c r="H126">
        <v>5.8999999999999997E-2</v>
      </c>
      <c r="I126">
        <v>422.4</v>
      </c>
      <c r="J126">
        <v>397.2</v>
      </c>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501.2</v>
      </c>
      <c r="D127">
        <v>464.8</v>
      </c>
      <c r="E127">
        <v>0.44700000000000001</v>
      </c>
      <c r="F127">
        <v>0.436</v>
      </c>
      <c r="G127">
        <v>0</v>
      </c>
      <c r="H127">
        <v>0</v>
      </c>
      <c r="I127">
        <v>392.4</v>
      </c>
      <c r="J127">
        <v>355.4</v>
      </c>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520.4</v>
      </c>
      <c r="D128">
        <v>522.70000000000005</v>
      </c>
      <c r="E128">
        <v>0.30199999999999999</v>
      </c>
      <c r="F128">
        <v>0.27400000000000002</v>
      </c>
      <c r="G128">
        <v>0</v>
      </c>
      <c r="H128">
        <v>0</v>
      </c>
      <c r="I128">
        <v>316.2</v>
      </c>
      <c r="J128">
        <v>310.2</v>
      </c>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454</v>
      </c>
      <c r="D129">
        <v>427.7</v>
      </c>
      <c r="E129">
        <v>0.39700000000000002</v>
      </c>
      <c r="F129">
        <v>0.39300000000000002</v>
      </c>
      <c r="G129">
        <v>0</v>
      </c>
      <c r="H129">
        <v>0</v>
      </c>
      <c r="I129">
        <v>318.7</v>
      </c>
      <c r="J129">
        <v>298</v>
      </c>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420.3</v>
      </c>
      <c r="D130">
        <v>396.7</v>
      </c>
      <c r="E130">
        <v>0.42599999999999999</v>
      </c>
      <c r="F130">
        <v>0.41299999999999998</v>
      </c>
      <c r="G130">
        <v>0</v>
      </c>
      <c r="H130">
        <v>0</v>
      </c>
      <c r="I130">
        <v>336.7</v>
      </c>
      <c r="J130">
        <v>315.5</v>
      </c>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613.9</v>
      </c>
      <c r="D131">
        <v>678.8</v>
      </c>
      <c r="E131">
        <v>0.35699999999999998</v>
      </c>
      <c r="F131">
        <v>0.3</v>
      </c>
      <c r="G131">
        <v>0</v>
      </c>
      <c r="H131">
        <v>0</v>
      </c>
      <c r="I131">
        <v>348.3</v>
      </c>
      <c r="J131">
        <v>356.4</v>
      </c>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494.6</v>
      </c>
      <c r="D132">
        <v>464.1</v>
      </c>
      <c r="E132">
        <v>0.40899999999999997</v>
      </c>
      <c r="F132">
        <v>0.41899999999999998</v>
      </c>
      <c r="G132">
        <v>0</v>
      </c>
      <c r="H132">
        <v>0</v>
      </c>
      <c r="I132">
        <v>348.1</v>
      </c>
      <c r="J132">
        <v>335.4</v>
      </c>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597.1</v>
      </c>
      <c r="D133">
        <v>572.9</v>
      </c>
      <c r="E133">
        <v>0.32600000000000001</v>
      </c>
      <c r="F133">
        <v>0.30099999999999999</v>
      </c>
      <c r="G133">
        <v>1.0999999999999999E-2</v>
      </c>
      <c r="H133">
        <v>5.2999999999999999E-2</v>
      </c>
      <c r="I133">
        <v>427.3</v>
      </c>
      <c r="J133">
        <v>394.1</v>
      </c>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503.3</v>
      </c>
      <c r="D134">
        <v>484.9</v>
      </c>
      <c r="E134">
        <v>0.312</v>
      </c>
      <c r="F134">
        <v>0.28599999999999998</v>
      </c>
      <c r="G134">
        <v>0</v>
      </c>
      <c r="H134">
        <v>0</v>
      </c>
      <c r="I134">
        <v>353.5</v>
      </c>
      <c r="J134">
        <v>330.6</v>
      </c>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532.20000000000005</v>
      </c>
      <c r="D135">
        <v>511.9</v>
      </c>
      <c r="E135">
        <v>0.32600000000000001</v>
      </c>
      <c r="F135">
        <v>0.29899999999999999</v>
      </c>
      <c r="G135">
        <v>0</v>
      </c>
      <c r="H135">
        <v>0</v>
      </c>
      <c r="I135">
        <v>356.8</v>
      </c>
      <c r="J135">
        <v>331.8</v>
      </c>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652.5</v>
      </c>
      <c r="D136">
        <v>609.9</v>
      </c>
      <c r="E136">
        <v>0.36599999999999999</v>
      </c>
      <c r="F136">
        <v>0.36599999999999999</v>
      </c>
      <c r="G136">
        <v>0</v>
      </c>
      <c r="H136">
        <v>0</v>
      </c>
      <c r="I136">
        <v>418.1</v>
      </c>
      <c r="J136">
        <v>389.8</v>
      </c>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509.2</v>
      </c>
      <c r="D137">
        <v>481.2</v>
      </c>
      <c r="E137">
        <v>0.39200000000000002</v>
      </c>
      <c r="F137">
        <v>0.376</v>
      </c>
      <c r="G137">
        <v>0.17699999999999999</v>
      </c>
      <c r="H137">
        <v>6.0000000000000001E-3</v>
      </c>
      <c r="I137">
        <v>392.1</v>
      </c>
      <c r="J137">
        <v>363.4</v>
      </c>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469.6</v>
      </c>
      <c r="D138">
        <v>449.7</v>
      </c>
      <c r="E138">
        <v>0.52700000000000002</v>
      </c>
      <c r="F138">
        <v>0.51200000000000001</v>
      </c>
      <c r="G138">
        <v>0.157</v>
      </c>
      <c r="H138">
        <v>0.107</v>
      </c>
      <c r="I138">
        <v>417.2</v>
      </c>
      <c r="J138">
        <v>389.8</v>
      </c>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487.5</v>
      </c>
      <c r="D139">
        <v>462.9</v>
      </c>
      <c r="E139">
        <v>0.443</v>
      </c>
      <c r="F139">
        <v>0.43099999999999999</v>
      </c>
      <c r="G139">
        <v>0</v>
      </c>
      <c r="H139">
        <v>0</v>
      </c>
      <c r="I139">
        <v>368.7</v>
      </c>
      <c r="J139">
        <v>343.3</v>
      </c>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430.9</v>
      </c>
      <c r="D140">
        <v>402.9</v>
      </c>
      <c r="E140">
        <v>0.47699999999999998</v>
      </c>
      <c r="F140">
        <v>0.48199999999999998</v>
      </c>
      <c r="G140">
        <v>0</v>
      </c>
      <c r="H140">
        <v>0</v>
      </c>
      <c r="I140">
        <v>387.5</v>
      </c>
      <c r="J140">
        <v>369.9</v>
      </c>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574.5</v>
      </c>
      <c r="D141">
        <v>517.20000000000005</v>
      </c>
      <c r="E141">
        <v>0.38200000000000001</v>
      </c>
      <c r="F141">
        <v>0.371</v>
      </c>
      <c r="G141">
        <v>0</v>
      </c>
      <c r="H141">
        <v>0</v>
      </c>
      <c r="I141">
        <v>354.1</v>
      </c>
      <c r="J141">
        <v>310.39999999999998</v>
      </c>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519.29999999999995</v>
      </c>
      <c r="D142">
        <v>486.5</v>
      </c>
      <c r="E142">
        <v>0.42699999999999999</v>
      </c>
      <c r="F142">
        <v>0.41199999999999998</v>
      </c>
      <c r="G142">
        <v>0</v>
      </c>
      <c r="H142">
        <v>0</v>
      </c>
      <c r="I142">
        <v>407.3</v>
      </c>
      <c r="J142">
        <v>373.7</v>
      </c>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407.6</v>
      </c>
      <c r="D143">
        <v>387.5</v>
      </c>
      <c r="E143">
        <v>0.53100000000000003</v>
      </c>
      <c r="F143">
        <v>0.51400000000000001</v>
      </c>
      <c r="G143">
        <v>0</v>
      </c>
      <c r="H143">
        <v>0</v>
      </c>
      <c r="I143">
        <v>381.6</v>
      </c>
      <c r="J143">
        <v>350.5</v>
      </c>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551.5</v>
      </c>
      <c r="D144">
        <v>501.8</v>
      </c>
      <c r="E144">
        <v>0.35899999999999999</v>
      </c>
      <c r="F144">
        <v>0.36199999999999999</v>
      </c>
      <c r="G144">
        <v>0</v>
      </c>
      <c r="H144">
        <v>0</v>
      </c>
      <c r="I144">
        <v>321</v>
      </c>
      <c r="J144">
        <v>296.2</v>
      </c>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401.9</v>
      </c>
      <c r="D145">
        <v>372.8</v>
      </c>
      <c r="E145">
        <v>0.55500000000000005</v>
      </c>
      <c r="F145">
        <v>0.53300000000000003</v>
      </c>
      <c r="G145">
        <v>0</v>
      </c>
      <c r="H145">
        <v>0</v>
      </c>
      <c r="I145">
        <v>400.6</v>
      </c>
      <c r="J145">
        <v>354.6</v>
      </c>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426</v>
      </c>
      <c r="D146">
        <v>435.7</v>
      </c>
      <c r="E146">
        <v>0.33</v>
      </c>
      <c r="F146">
        <v>0.30599999999999999</v>
      </c>
      <c r="G146">
        <v>0</v>
      </c>
      <c r="H146">
        <v>0</v>
      </c>
      <c r="I146">
        <v>289.5</v>
      </c>
      <c r="J146">
        <v>284.5</v>
      </c>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598.9</v>
      </c>
      <c r="D147">
        <v>553.20000000000005</v>
      </c>
      <c r="E147">
        <v>0.32800000000000001</v>
      </c>
      <c r="F147">
        <v>0.314</v>
      </c>
      <c r="G147">
        <v>0</v>
      </c>
      <c r="H147">
        <v>0</v>
      </c>
      <c r="I147">
        <v>394.4</v>
      </c>
      <c r="J147">
        <v>359.1</v>
      </c>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444.8</v>
      </c>
      <c r="D148">
        <v>397.1</v>
      </c>
      <c r="E148">
        <v>0.47899999999999998</v>
      </c>
      <c r="F148">
        <v>0.47699999999999998</v>
      </c>
      <c r="G148">
        <v>6.6000000000000003E-2</v>
      </c>
      <c r="H148">
        <v>0.01</v>
      </c>
      <c r="I148">
        <v>436.5</v>
      </c>
      <c r="J148">
        <v>389.9</v>
      </c>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719.7</v>
      </c>
      <c r="D149">
        <v>827</v>
      </c>
      <c r="E149">
        <v>0.40200000000000002</v>
      </c>
      <c r="F149">
        <v>0.36299999999999999</v>
      </c>
      <c r="G149">
        <v>0</v>
      </c>
      <c r="H149">
        <v>0</v>
      </c>
      <c r="I149">
        <v>559.79999999999995</v>
      </c>
      <c r="J149">
        <v>600.6</v>
      </c>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366.5</v>
      </c>
      <c r="D150">
        <v>349</v>
      </c>
      <c r="E150">
        <v>0.30099999999999999</v>
      </c>
      <c r="F150">
        <v>0.27700000000000002</v>
      </c>
      <c r="G150">
        <v>0</v>
      </c>
      <c r="H150">
        <v>0</v>
      </c>
      <c r="I150">
        <v>266.89999999999998</v>
      </c>
      <c r="J150">
        <v>242.6</v>
      </c>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405.2</v>
      </c>
      <c r="D151">
        <v>381.2</v>
      </c>
      <c r="E151">
        <v>0.23100000000000001</v>
      </c>
      <c r="F151">
        <v>0.23100000000000001</v>
      </c>
      <c r="G151">
        <v>0</v>
      </c>
      <c r="H151">
        <v>0</v>
      </c>
      <c r="I151">
        <v>328</v>
      </c>
      <c r="J151">
        <v>304</v>
      </c>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548.1</v>
      </c>
      <c r="D152">
        <v>530.70000000000005</v>
      </c>
      <c r="E152">
        <v>0.435</v>
      </c>
      <c r="F152">
        <v>0.42099999999999999</v>
      </c>
      <c r="G152">
        <v>1.2E-2</v>
      </c>
      <c r="H152">
        <v>6.0000000000000001E-3</v>
      </c>
      <c r="I152">
        <v>426.4</v>
      </c>
      <c r="J152">
        <v>403.8</v>
      </c>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514.6</v>
      </c>
      <c r="D153">
        <v>464.5</v>
      </c>
      <c r="E153">
        <v>0.40300000000000002</v>
      </c>
      <c r="F153">
        <v>0.41299999999999998</v>
      </c>
      <c r="G153">
        <v>0</v>
      </c>
      <c r="H153">
        <v>0</v>
      </c>
      <c r="I153">
        <v>415.8</v>
      </c>
      <c r="J153">
        <v>380.9</v>
      </c>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454.3</v>
      </c>
      <c r="D154">
        <v>423.8</v>
      </c>
      <c r="E154">
        <v>0.48099999999999998</v>
      </c>
      <c r="F154">
        <v>0.46500000000000002</v>
      </c>
      <c r="G154">
        <v>5.0000000000000001E-3</v>
      </c>
      <c r="H154">
        <v>1E-3</v>
      </c>
      <c r="I154">
        <v>354</v>
      </c>
      <c r="J154">
        <v>324.8</v>
      </c>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463.2</v>
      </c>
      <c r="D155">
        <v>444.1</v>
      </c>
      <c r="E155">
        <v>0.48</v>
      </c>
      <c r="F155">
        <v>0.46600000000000003</v>
      </c>
      <c r="G155">
        <v>7.0000000000000001E-3</v>
      </c>
      <c r="H155">
        <v>1E-3</v>
      </c>
      <c r="I155">
        <v>413.4</v>
      </c>
      <c r="J155">
        <v>384.2</v>
      </c>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620.29999999999995</v>
      </c>
      <c r="D156">
        <v>599.70000000000005</v>
      </c>
      <c r="E156">
        <v>0.26900000000000002</v>
      </c>
      <c r="F156">
        <v>0.26</v>
      </c>
      <c r="G156">
        <v>0.108</v>
      </c>
      <c r="H156">
        <v>9.0999999999999998E-2</v>
      </c>
      <c r="I156">
        <v>371.8</v>
      </c>
      <c r="J156">
        <v>353.7</v>
      </c>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649.9</v>
      </c>
      <c r="D157">
        <v>616.1</v>
      </c>
      <c r="E157">
        <v>0.26500000000000001</v>
      </c>
      <c r="F157">
        <v>0.26300000000000001</v>
      </c>
      <c r="G157">
        <v>0</v>
      </c>
      <c r="H157">
        <v>0</v>
      </c>
      <c r="I157">
        <v>399.8</v>
      </c>
      <c r="J157">
        <v>376</v>
      </c>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320.39999999999998</v>
      </c>
      <c r="D158">
        <v>318.8</v>
      </c>
      <c r="E158">
        <v>0.34499999999999997</v>
      </c>
      <c r="F158">
        <v>0.311</v>
      </c>
      <c r="G158">
        <v>0</v>
      </c>
      <c r="H158">
        <v>0</v>
      </c>
      <c r="I158">
        <v>225.9</v>
      </c>
      <c r="J158">
        <v>215</v>
      </c>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579.70000000000005</v>
      </c>
      <c r="D159">
        <v>528.9</v>
      </c>
      <c r="E159">
        <v>0.41199999999999998</v>
      </c>
      <c r="F159">
        <v>0.42799999999999999</v>
      </c>
      <c r="G159">
        <v>0.36</v>
      </c>
      <c r="H159">
        <v>0.34899999999999998</v>
      </c>
      <c r="I159">
        <v>448.6</v>
      </c>
      <c r="J159">
        <v>418.7</v>
      </c>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477.9</v>
      </c>
      <c r="D160">
        <v>488</v>
      </c>
      <c r="E160">
        <v>0.38500000000000001</v>
      </c>
      <c r="F160">
        <v>0.36199999999999999</v>
      </c>
      <c r="G160">
        <v>0</v>
      </c>
      <c r="H160">
        <v>0</v>
      </c>
      <c r="I160">
        <v>361.5</v>
      </c>
      <c r="J160">
        <v>351.1</v>
      </c>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554.20000000000005</v>
      </c>
      <c r="D161">
        <v>527.9</v>
      </c>
      <c r="E161">
        <v>0.36</v>
      </c>
      <c r="F161">
        <v>0.34899999999999998</v>
      </c>
      <c r="G161">
        <v>8.9999999999999993E-3</v>
      </c>
      <c r="H161">
        <v>7.0000000000000001E-3</v>
      </c>
      <c r="I161">
        <v>388.7</v>
      </c>
      <c r="J161">
        <v>361</v>
      </c>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592.9</v>
      </c>
      <c r="D162">
        <v>521.9</v>
      </c>
      <c r="E162">
        <v>0.36499999999999999</v>
      </c>
      <c r="F162">
        <v>0.39500000000000002</v>
      </c>
      <c r="G162">
        <v>0.35799999999999998</v>
      </c>
      <c r="H162">
        <v>0.32600000000000001</v>
      </c>
      <c r="I162">
        <v>361.4</v>
      </c>
      <c r="J162">
        <v>329.6</v>
      </c>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566.29999999999995</v>
      </c>
      <c r="D163">
        <v>540.1</v>
      </c>
      <c r="E163">
        <v>0.434</v>
      </c>
      <c r="F163">
        <v>0.41799999999999998</v>
      </c>
      <c r="G163">
        <v>0.253</v>
      </c>
      <c r="H163">
        <v>0.23699999999999999</v>
      </c>
      <c r="I163">
        <v>435</v>
      </c>
      <c r="J163">
        <v>402.7</v>
      </c>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444.8</v>
      </c>
      <c r="D164">
        <v>426.3</v>
      </c>
      <c r="E164">
        <v>0.41</v>
      </c>
      <c r="F164">
        <v>0.40400000000000003</v>
      </c>
      <c r="G164">
        <v>0</v>
      </c>
      <c r="H164">
        <v>0</v>
      </c>
      <c r="I164">
        <v>347.4</v>
      </c>
      <c r="J164">
        <v>330.9</v>
      </c>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513.20000000000005</v>
      </c>
      <c r="D165">
        <v>513</v>
      </c>
      <c r="E165">
        <v>0.27200000000000002</v>
      </c>
      <c r="F165">
        <v>0.23</v>
      </c>
      <c r="G165">
        <v>0</v>
      </c>
      <c r="H165">
        <v>0</v>
      </c>
      <c r="I165">
        <v>307.10000000000002</v>
      </c>
      <c r="J165">
        <v>291.3</v>
      </c>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500</v>
      </c>
      <c r="D166">
        <v>455.7</v>
      </c>
      <c r="E166">
        <v>0.45200000000000001</v>
      </c>
      <c r="F166">
        <v>0.443</v>
      </c>
      <c r="G166">
        <v>0</v>
      </c>
      <c r="H166">
        <v>0</v>
      </c>
      <c r="I166">
        <v>404.9</v>
      </c>
      <c r="J166">
        <v>364.2</v>
      </c>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527.70000000000005</v>
      </c>
      <c r="D167">
        <v>500</v>
      </c>
      <c r="E167">
        <v>0.33300000000000002</v>
      </c>
      <c r="F167">
        <v>0.316</v>
      </c>
      <c r="G167">
        <v>0</v>
      </c>
      <c r="H167">
        <v>0</v>
      </c>
      <c r="I167">
        <v>361.4</v>
      </c>
      <c r="J167">
        <v>337.8</v>
      </c>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585.79999999999995</v>
      </c>
      <c r="D168">
        <v>560.4</v>
      </c>
      <c r="E168">
        <v>0.39900000000000002</v>
      </c>
      <c r="F168">
        <v>0.38500000000000001</v>
      </c>
      <c r="G168">
        <v>3.9E-2</v>
      </c>
      <c r="H168">
        <v>3.2000000000000001E-2</v>
      </c>
      <c r="I168">
        <v>450.3</v>
      </c>
      <c r="J168">
        <v>422.5</v>
      </c>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627.20000000000005</v>
      </c>
      <c r="D169">
        <v>633.5</v>
      </c>
      <c r="E169">
        <v>0.22900000000000001</v>
      </c>
      <c r="F169">
        <v>0.17899999999999999</v>
      </c>
      <c r="G169">
        <v>0</v>
      </c>
      <c r="H169">
        <v>0</v>
      </c>
      <c r="I169">
        <v>396</v>
      </c>
      <c r="J169">
        <v>369.6</v>
      </c>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675.3</v>
      </c>
      <c r="D170">
        <v>664.8</v>
      </c>
      <c r="E170">
        <v>0.28599999999999998</v>
      </c>
      <c r="F170">
        <v>0.249</v>
      </c>
      <c r="G170">
        <v>0.186</v>
      </c>
      <c r="H170">
        <v>0.26900000000000002</v>
      </c>
      <c r="I170">
        <v>347.4</v>
      </c>
      <c r="J170">
        <v>328.3</v>
      </c>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383.3</v>
      </c>
      <c r="D171">
        <v>381.9</v>
      </c>
      <c r="E171">
        <v>0.52800000000000002</v>
      </c>
      <c r="F171">
        <v>0.49399999999999999</v>
      </c>
      <c r="G171">
        <v>0</v>
      </c>
      <c r="H171">
        <v>0</v>
      </c>
      <c r="I171">
        <v>347.9</v>
      </c>
      <c r="J171">
        <v>322.2</v>
      </c>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366.9</v>
      </c>
      <c r="D172">
        <v>347.5</v>
      </c>
      <c r="E172">
        <v>0.58299999999999996</v>
      </c>
      <c r="F172">
        <v>0.56699999999999995</v>
      </c>
      <c r="G172">
        <v>0</v>
      </c>
      <c r="H172">
        <v>0</v>
      </c>
      <c r="I172">
        <v>388.1</v>
      </c>
      <c r="J172">
        <v>354.8</v>
      </c>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422.4</v>
      </c>
      <c r="D173">
        <v>393.1</v>
      </c>
      <c r="E173">
        <v>0.41299999999999998</v>
      </c>
      <c r="F173">
        <v>0.41299999999999998</v>
      </c>
      <c r="G173">
        <v>0</v>
      </c>
      <c r="H173">
        <v>0</v>
      </c>
      <c r="I173">
        <v>337.3</v>
      </c>
      <c r="J173">
        <v>312.5</v>
      </c>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416.8</v>
      </c>
      <c r="D174">
        <v>401.3</v>
      </c>
      <c r="E174">
        <v>0.39700000000000002</v>
      </c>
      <c r="F174">
        <v>0.38800000000000001</v>
      </c>
      <c r="G174">
        <v>0</v>
      </c>
      <c r="H174">
        <v>0</v>
      </c>
      <c r="I174">
        <v>305.7</v>
      </c>
      <c r="J174">
        <v>283.7</v>
      </c>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609.70000000000005</v>
      </c>
      <c r="D175">
        <v>586.6</v>
      </c>
      <c r="E175">
        <v>0.32100000000000001</v>
      </c>
      <c r="F175">
        <v>0.30299999999999999</v>
      </c>
      <c r="G175">
        <v>0</v>
      </c>
      <c r="H175">
        <v>0</v>
      </c>
      <c r="I175">
        <v>411.1</v>
      </c>
      <c r="J175">
        <v>386.7</v>
      </c>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616.5</v>
      </c>
      <c r="D176">
        <v>599.5</v>
      </c>
      <c r="E176">
        <v>0.40500000000000003</v>
      </c>
      <c r="F176">
        <v>0.36599999999999999</v>
      </c>
      <c r="G176">
        <v>1.4999999999999999E-2</v>
      </c>
      <c r="H176">
        <v>1E-3</v>
      </c>
      <c r="I176">
        <v>439.9</v>
      </c>
      <c r="J176">
        <v>400.2</v>
      </c>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515.5</v>
      </c>
      <c r="D177">
        <v>482.7</v>
      </c>
      <c r="E177">
        <v>0.435</v>
      </c>
      <c r="F177">
        <v>0.42899999999999999</v>
      </c>
      <c r="G177">
        <v>0</v>
      </c>
      <c r="H177">
        <v>0</v>
      </c>
      <c r="I177">
        <v>420.7</v>
      </c>
      <c r="J177">
        <v>390.3</v>
      </c>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880</v>
      </c>
      <c r="D178" t="s">
        <v>880</v>
      </c>
      <c r="E178" t="s">
        <v>880</v>
      </c>
      <c r="F178" t="s">
        <v>880</v>
      </c>
      <c r="G178" t="s">
        <v>880</v>
      </c>
      <c r="H178" t="s">
        <v>880</v>
      </c>
      <c r="I178" t="s">
        <v>880</v>
      </c>
      <c r="J178" t="s">
        <v>880</v>
      </c>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476.1</v>
      </c>
      <c r="D179">
        <v>447.4</v>
      </c>
      <c r="E179">
        <v>0.42</v>
      </c>
      <c r="F179">
        <v>0.43</v>
      </c>
      <c r="G179">
        <v>2E-3</v>
      </c>
      <c r="H179">
        <v>2E-3</v>
      </c>
      <c r="I179">
        <v>330.7</v>
      </c>
      <c r="J179">
        <v>319.7</v>
      </c>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362</v>
      </c>
      <c r="D180">
        <v>324.8</v>
      </c>
      <c r="E180">
        <v>0.53700000000000003</v>
      </c>
      <c r="F180">
        <v>0.55400000000000005</v>
      </c>
      <c r="G180">
        <v>0</v>
      </c>
      <c r="H180">
        <v>0</v>
      </c>
      <c r="I180">
        <v>350.7</v>
      </c>
      <c r="J180">
        <v>327.39999999999998</v>
      </c>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911</v>
      </c>
      <c r="B181" s="138"/>
      <c r="C181">
        <v>497</v>
      </c>
      <c r="D181">
        <v>464.3</v>
      </c>
      <c r="E181">
        <v>0.41</v>
      </c>
      <c r="F181">
        <v>0.39</v>
      </c>
      <c r="G181">
        <v>0</v>
      </c>
      <c r="H181">
        <v>0</v>
      </c>
      <c r="I181">
        <v>384.6</v>
      </c>
      <c r="J181">
        <v>347.5</v>
      </c>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448.5</v>
      </c>
      <c r="D182">
        <v>420.1</v>
      </c>
      <c r="E182">
        <v>0.42799999999999999</v>
      </c>
      <c r="F182">
        <v>0.41799999999999998</v>
      </c>
      <c r="G182">
        <v>0</v>
      </c>
      <c r="H182">
        <v>0</v>
      </c>
      <c r="I182">
        <v>342.9</v>
      </c>
      <c r="J182">
        <v>319.5</v>
      </c>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694.2</v>
      </c>
      <c r="D183">
        <v>759.1</v>
      </c>
      <c r="E183">
        <v>0.29799999999999999</v>
      </c>
      <c r="F183">
        <v>0.23100000000000001</v>
      </c>
      <c r="G183">
        <v>5.5E-2</v>
      </c>
      <c r="H183">
        <v>8.7999999999999995E-2</v>
      </c>
      <c r="I183">
        <v>448.2</v>
      </c>
      <c r="J183">
        <v>437.6</v>
      </c>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490.7</v>
      </c>
      <c r="D184">
        <v>492.9</v>
      </c>
      <c r="E184">
        <v>0.51900000000000002</v>
      </c>
      <c r="F184">
        <v>0.48099999999999998</v>
      </c>
      <c r="G184">
        <v>0.01</v>
      </c>
      <c r="H184">
        <v>6.0000000000000001E-3</v>
      </c>
      <c r="I184">
        <v>420.5</v>
      </c>
      <c r="J184">
        <v>395.2</v>
      </c>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387.8</v>
      </c>
      <c r="D185">
        <v>366.6</v>
      </c>
      <c r="E185">
        <v>0.54200000000000004</v>
      </c>
      <c r="F185">
        <v>0.55100000000000005</v>
      </c>
      <c r="G185">
        <v>0</v>
      </c>
      <c r="H185">
        <v>0</v>
      </c>
      <c r="I185">
        <v>378.3</v>
      </c>
      <c r="J185">
        <v>366</v>
      </c>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484.7</v>
      </c>
      <c r="D186">
        <v>457.4</v>
      </c>
      <c r="E186">
        <v>0.32700000000000001</v>
      </c>
      <c r="F186">
        <v>0.34</v>
      </c>
      <c r="G186">
        <v>0</v>
      </c>
      <c r="H186">
        <v>0</v>
      </c>
      <c r="I186">
        <v>336.9</v>
      </c>
      <c r="J186">
        <v>325.39999999999998</v>
      </c>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549.4</v>
      </c>
      <c r="D187">
        <v>514.9</v>
      </c>
      <c r="E187">
        <v>0.34599999999999997</v>
      </c>
      <c r="F187">
        <v>0.34399999999999997</v>
      </c>
      <c r="G187">
        <v>0</v>
      </c>
      <c r="H187">
        <v>0</v>
      </c>
      <c r="I187">
        <v>386.4</v>
      </c>
      <c r="J187">
        <v>359.6</v>
      </c>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432.9</v>
      </c>
      <c r="D188">
        <v>417.1</v>
      </c>
      <c r="E188">
        <v>0.47499999999999998</v>
      </c>
      <c r="F188">
        <v>0.45800000000000002</v>
      </c>
      <c r="G188">
        <v>0</v>
      </c>
      <c r="H188">
        <v>0</v>
      </c>
      <c r="I188">
        <v>383.5</v>
      </c>
      <c r="J188">
        <v>355.4</v>
      </c>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510.1</v>
      </c>
      <c r="D189">
        <v>567.5</v>
      </c>
      <c r="E189">
        <v>0.36699999999999999</v>
      </c>
      <c r="F189">
        <v>0.25600000000000001</v>
      </c>
      <c r="G189">
        <v>0.14699999999999999</v>
      </c>
      <c r="H189">
        <v>0.42099999999999999</v>
      </c>
      <c r="I189">
        <v>370.9</v>
      </c>
      <c r="J189">
        <v>344.4</v>
      </c>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755.1</v>
      </c>
      <c r="D190">
        <v>694.8</v>
      </c>
      <c r="E190">
        <v>0.248</v>
      </c>
      <c r="F190">
        <v>0.25600000000000001</v>
      </c>
      <c r="G190">
        <v>0</v>
      </c>
      <c r="H190">
        <v>0</v>
      </c>
      <c r="I190">
        <v>358.7</v>
      </c>
      <c r="J190">
        <v>332.3</v>
      </c>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539.6</v>
      </c>
      <c r="D191">
        <v>504.8</v>
      </c>
      <c r="E191">
        <v>0.442</v>
      </c>
      <c r="F191">
        <v>0.43099999999999999</v>
      </c>
      <c r="G191">
        <v>0.127</v>
      </c>
      <c r="H191">
        <v>7.5999999999999998E-2</v>
      </c>
      <c r="I191">
        <v>457.6</v>
      </c>
      <c r="J191">
        <v>419.6</v>
      </c>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423</v>
      </c>
      <c r="D192">
        <v>414.5</v>
      </c>
      <c r="E192">
        <v>0.48199999999999998</v>
      </c>
      <c r="F192">
        <v>0.45600000000000002</v>
      </c>
      <c r="G192">
        <v>0</v>
      </c>
      <c r="H192">
        <v>0</v>
      </c>
      <c r="I192">
        <v>392</v>
      </c>
      <c r="J192">
        <v>366</v>
      </c>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475.4</v>
      </c>
      <c r="D193">
        <v>450.2</v>
      </c>
      <c r="E193">
        <v>0.45300000000000001</v>
      </c>
      <c r="F193">
        <v>0.41</v>
      </c>
      <c r="G193">
        <v>0</v>
      </c>
      <c r="H193">
        <v>0</v>
      </c>
      <c r="I193">
        <v>402.7</v>
      </c>
      <c r="J193">
        <v>353.2</v>
      </c>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602.70000000000005</v>
      </c>
      <c r="D194">
        <v>562.20000000000005</v>
      </c>
      <c r="E194">
        <v>0.38800000000000001</v>
      </c>
      <c r="F194">
        <v>0.379</v>
      </c>
      <c r="G194">
        <v>4.9000000000000002E-2</v>
      </c>
      <c r="H194">
        <v>7.0000000000000001E-3</v>
      </c>
      <c r="I194">
        <v>467.2</v>
      </c>
      <c r="J194">
        <v>430.4</v>
      </c>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347.5</v>
      </c>
      <c r="D195">
        <v>342.4</v>
      </c>
      <c r="E195">
        <v>0.57699999999999996</v>
      </c>
      <c r="F195">
        <v>0.55200000000000005</v>
      </c>
      <c r="G195">
        <v>0</v>
      </c>
      <c r="H195">
        <v>0</v>
      </c>
      <c r="I195">
        <v>362.6</v>
      </c>
      <c r="J195">
        <v>338.1</v>
      </c>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516.5</v>
      </c>
      <c r="D196">
        <v>485.6</v>
      </c>
      <c r="E196">
        <v>0.44</v>
      </c>
      <c r="F196">
        <v>0.42099999999999999</v>
      </c>
      <c r="G196">
        <v>0</v>
      </c>
      <c r="H196">
        <v>0</v>
      </c>
      <c r="I196">
        <v>414.5</v>
      </c>
      <c r="J196">
        <v>377.9</v>
      </c>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539.1</v>
      </c>
      <c r="D197">
        <v>514.4</v>
      </c>
      <c r="E197">
        <v>0.51700000000000002</v>
      </c>
      <c r="F197">
        <v>0.503</v>
      </c>
      <c r="G197">
        <v>5.0000000000000001E-3</v>
      </c>
      <c r="H197">
        <v>1.4E-2</v>
      </c>
      <c r="I197">
        <v>502.3</v>
      </c>
      <c r="J197">
        <v>468.4</v>
      </c>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470.5</v>
      </c>
      <c r="D198">
        <v>426.7</v>
      </c>
      <c r="E198">
        <v>0.42299999999999999</v>
      </c>
      <c r="F198">
        <v>0.43099999999999999</v>
      </c>
      <c r="G198">
        <v>0</v>
      </c>
      <c r="H198">
        <v>0</v>
      </c>
      <c r="I198">
        <v>440.2</v>
      </c>
      <c r="J198">
        <v>405</v>
      </c>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904</v>
      </c>
      <c r="B199" s="138"/>
      <c r="C199">
        <v>556.79999999999995</v>
      </c>
      <c r="D199">
        <v>526.29999999999995</v>
      </c>
      <c r="E199">
        <v>0.45400000000000001</v>
      </c>
      <c r="F199">
        <v>0.42</v>
      </c>
      <c r="G199">
        <v>0.107</v>
      </c>
      <c r="H199">
        <v>7.8E-2</v>
      </c>
      <c r="I199">
        <v>438.3</v>
      </c>
      <c r="J199">
        <v>392.2</v>
      </c>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400.6</v>
      </c>
      <c r="D200">
        <v>373.6</v>
      </c>
      <c r="E200">
        <v>0.59499999999999997</v>
      </c>
      <c r="F200">
        <v>0.58899999999999997</v>
      </c>
      <c r="G200">
        <v>0.115</v>
      </c>
      <c r="H200">
        <v>7.8E-2</v>
      </c>
      <c r="I200">
        <v>450.8</v>
      </c>
      <c r="J200">
        <v>415</v>
      </c>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580.9</v>
      </c>
      <c r="D201">
        <v>557.29999999999995</v>
      </c>
      <c r="E201">
        <v>0.35199999999999998</v>
      </c>
      <c r="F201">
        <v>0.32</v>
      </c>
      <c r="G201">
        <v>0.05</v>
      </c>
      <c r="H201">
        <v>8.2000000000000003E-2</v>
      </c>
      <c r="I201">
        <v>429.9</v>
      </c>
      <c r="J201">
        <v>394.1</v>
      </c>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612.20000000000005</v>
      </c>
      <c r="D202">
        <v>557.5</v>
      </c>
      <c r="E202">
        <v>0.36299999999999999</v>
      </c>
      <c r="F202">
        <v>0.37</v>
      </c>
      <c r="G202">
        <v>0</v>
      </c>
      <c r="H202">
        <v>0</v>
      </c>
      <c r="I202">
        <v>429.7</v>
      </c>
      <c r="J202">
        <v>395.5</v>
      </c>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487.3</v>
      </c>
      <c r="D203">
        <v>465.1</v>
      </c>
      <c r="E203">
        <v>0.46600000000000003</v>
      </c>
      <c r="F203">
        <v>0.43</v>
      </c>
      <c r="G203">
        <v>0</v>
      </c>
      <c r="H203">
        <v>0</v>
      </c>
      <c r="I203">
        <v>410.1</v>
      </c>
      <c r="J203">
        <v>364.2</v>
      </c>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567.1</v>
      </c>
      <c r="D204">
        <v>525.1</v>
      </c>
      <c r="E204">
        <v>0.44400000000000001</v>
      </c>
      <c r="F204">
        <v>0.436</v>
      </c>
      <c r="G204">
        <v>4.1000000000000002E-2</v>
      </c>
      <c r="H204">
        <v>3.9E-2</v>
      </c>
      <c r="I204">
        <v>489.1</v>
      </c>
      <c r="J204">
        <v>447.6</v>
      </c>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683.8</v>
      </c>
      <c r="D205">
        <v>602.29999999999995</v>
      </c>
      <c r="E205">
        <v>0.32</v>
      </c>
      <c r="F205">
        <v>0.34</v>
      </c>
      <c r="G205">
        <v>0.104</v>
      </c>
      <c r="H205">
        <v>9.8000000000000004E-2</v>
      </c>
      <c r="I205">
        <v>490.1</v>
      </c>
      <c r="J205">
        <v>445</v>
      </c>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416.9</v>
      </c>
      <c r="D206">
        <v>388.5</v>
      </c>
      <c r="E206">
        <v>0.39600000000000002</v>
      </c>
      <c r="F206">
        <v>0.38500000000000001</v>
      </c>
      <c r="G206">
        <v>0</v>
      </c>
      <c r="H206">
        <v>0</v>
      </c>
      <c r="I206">
        <v>329.1</v>
      </c>
      <c r="J206">
        <v>299.5</v>
      </c>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608.70000000000005</v>
      </c>
      <c r="D207">
        <v>577.6</v>
      </c>
      <c r="E207">
        <v>0.253</v>
      </c>
      <c r="F207">
        <v>0.251</v>
      </c>
      <c r="G207">
        <v>0.1</v>
      </c>
      <c r="H207">
        <v>7.5999999999999998E-2</v>
      </c>
      <c r="I207">
        <v>367.5</v>
      </c>
      <c r="J207">
        <v>340.9</v>
      </c>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604.29999999999995</v>
      </c>
      <c r="D208">
        <v>566.9</v>
      </c>
      <c r="E208">
        <v>0.42</v>
      </c>
      <c r="F208">
        <v>0.41299999999999998</v>
      </c>
      <c r="G208">
        <v>4.5999999999999999E-2</v>
      </c>
      <c r="H208">
        <v>5.3999999999999999E-2</v>
      </c>
      <c r="I208">
        <v>474.7</v>
      </c>
      <c r="J208">
        <v>440.6</v>
      </c>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535</v>
      </c>
      <c r="D209">
        <v>501.7</v>
      </c>
      <c r="E209">
        <v>0.38600000000000001</v>
      </c>
      <c r="F209">
        <v>0.35399999999999998</v>
      </c>
      <c r="G209">
        <v>0</v>
      </c>
      <c r="H209">
        <v>0</v>
      </c>
      <c r="I209">
        <v>382.7</v>
      </c>
      <c r="J209">
        <v>343.9</v>
      </c>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456.7</v>
      </c>
      <c r="D210">
        <v>428.6</v>
      </c>
      <c r="E210">
        <v>0.42299999999999999</v>
      </c>
      <c r="F210">
        <v>0.39500000000000002</v>
      </c>
      <c r="G210">
        <v>0</v>
      </c>
      <c r="H210">
        <v>0</v>
      </c>
      <c r="I210">
        <v>326.10000000000002</v>
      </c>
      <c r="J210">
        <v>292.2</v>
      </c>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414.5</v>
      </c>
      <c r="D211">
        <v>397.3</v>
      </c>
      <c r="E211">
        <v>0.46500000000000002</v>
      </c>
      <c r="F211">
        <v>0.45600000000000002</v>
      </c>
      <c r="G211">
        <v>0</v>
      </c>
      <c r="H211">
        <v>0</v>
      </c>
      <c r="I211">
        <v>313</v>
      </c>
      <c r="J211">
        <v>294.5</v>
      </c>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343.5</v>
      </c>
      <c r="D212">
        <v>327</v>
      </c>
      <c r="E212">
        <v>0.51200000000000001</v>
      </c>
      <c r="F212">
        <v>0.48599999999999999</v>
      </c>
      <c r="G212">
        <v>0</v>
      </c>
      <c r="H212">
        <v>0</v>
      </c>
      <c r="I212">
        <v>276.3</v>
      </c>
      <c r="J212">
        <v>247.1</v>
      </c>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406.2</v>
      </c>
      <c r="D213">
        <v>378.8</v>
      </c>
      <c r="E213">
        <v>0.58199999999999996</v>
      </c>
      <c r="F213">
        <v>0.57199999999999995</v>
      </c>
      <c r="G213">
        <v>3.6999999999999998E-2</v>
      </c>
      <c r="H213">
        <v>3.3000000000000002E-2</v>
      </c>
      <c r="I213">
        <v>412.9</v>
      </c>
      <c r="J213">
        <v>376</v>
      </c>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590.9</v>
      </c>
      <c r="D214">
        <v>564.5</v>
      </c>
      <c r="E214">
        <v>0.31</v>
      </c>
      <c r="F214">
        <v>0.29599999999999999</v>
      </c>
      <c r="G214">
        <v>0</v>
      </c>
      <c r="H214">
        <v>0</v>
      </c>
      <c r="I214">
        <v>365</v>
      </c>
      <c r="J214">
        <v>342.5</v>
      </c>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593.5</v>
      </c>
      <c r="D215">
        <v>549.70000000000005</v>
      </c>
      <c r="E215">
        <v>0.38900000000000001</v>
      </c>
      <c r="F215">
        <v>0.40100000000000002</v>
      </c>
      <c r="G215">
        <v>7.0000000000000001E-3</v>
      </c>
      <c r="H215">
        <v>4.0000000000000001E-3</v>
      </c>
      <c r="I215">
        <v>396.8</v>
      </c>
      <c r="J215">
        <v>375.8</v>
      </c>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575.4</v>
      </c>
      <c r="D216">
        <v>551.79999999999995</v>
      </c>
      <c r="E216">
        <v>0.34499999999999997</v>
      </c>
      <c r="F216">
        <v>0.32200000000000001</v>
      </c>
      <c r="G216">
        <v>1E-3</v>
      </c>
      <c r="H216">
        <v>1E-3</v>
      </c>
      <c r="I216">
        <v>406.2</v>
      </c>
      <c r="J216">
        <v>374.6</v>
      </c>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568.20000000000005</v>
      </c>
      <c r="D217">
        <v>536.9</v>
      </c>
      <c r="E217">
        <v>0.27100000000000002</v>
      </c>
      <c r="F217">
        <v>0.27700000000000002</v>
      </c>
      <c r="G217">
        <v>3.4000000000000002E-2</v>
      </c>
      <c r="H217">
        <v>3.6999999999999998E-2</v>
      </c>
      <c r="I217">
        <v>349.2</v>
      </c>
      <c r="J217">
        <v>332</v>
      </c>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560</v>
      </c>
      <c r="D218">
        <v>535.79999999999995</v>
      </c>
      <c r="E218">
        <v>0.32300000000000001</v>
      </c>
      <c r="F218">
        <v>0.307</v>
      </c>
      <c r="G218">
        <v>0</v>
      </c>
      <c r="H218">
        <v>0</v>
      </c>
      <c r="I218">
        <v>369.5</v>
      </c>
      <c r="J218">
        <v>342.1</v>
      </c>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364.8</v>
      </c>
      <c r="D219">
        <v>353</v>
      </c>
      <c r="E219">
        <v>0.51500000000000001</v>
      </c>
      <c r="F219">
        <v>0.495</v>
      </c>
      <c r="G219">
        <v>0.10100000000000001</v>
      </c>
      <c r="H219">
        <v>0.13400000000000001</v>
      </c>
      <c r="I219">
        <v>323.7</v>
      </c>
      <c r="J219">
        <v>302</v>
      </c>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661.2</v>
      </c>
      <c r="D220">
        <v>634.20000000000005</v>
      </c>
      <c r="E220">
        <v>0.30499999999999999</v>
      </c>
      <c r="F220">
        <v>0.308</v>
      </c>
      <c r="G220">
        <v>0</v>
      </c>
      <c r="H220">
        <v>0</v>
      </c>
      <c r="I220">
        <v>328.6</v>
      </c>
      <c r="J220">
        <v>316.5</v>
      </c>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545.1</v>
      </c>
      <c r="D221">
        <v>568.29999999999995</v>
      </c>
      <c r="E221">
        <v>0.38200000000000001</v>
      </c>
      <c r="F221">
        <v>0.30199999999999999</v>
      </c>
      <c r="G221">
        <v>5.0000000000000001E-3</v>
      </c>
      <c r="H221">
        <v>5.0999999999999997E-2</v>
      </c>
      <c r="I221">
        <v>423.6</v>
      </c>
      <c r="J221">
        <v>392.1</v>
      </c>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539</v>
      </c>
      <c r="D222">
        <v>521.5</v>
      </c>
      <c r="E222">
        <v>0.28299999999999997</v>
      </c>
      <c r="F222">
        <v>0.27400000000000002</v>
      </c>
      <c r="G222">
        <v>0</v>
      </c>
      <c r="H222">
        <v>0</v>
      </c>
      <c r="I222">
        <v>324.7</v>
      </c>
      <c r="J222">
        <v>311</v>
      </c>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393.1</v>
      </c>
      <c r="D223">
        <v>375.1</v>
      </c>
      <c r="E223">
        <v>0.55600000000000005</v>
      </c>
      <c r="F223">
        <v>0.54200000000000004</v>
      </c>
      <c r="G223">
        <v>0</v>
      </c>
      <c r="H223">
        <v>0</v>
      </c>
      <c r="I223">
        <v>367.4</v>
      </c>
      <c r="J223">
        <v>339.7</v>
      </c>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547.4</v>
      </c>
      <c r="D224">
        <v>521.79999999999995</v>
      </c>
      <c r="E224">
        <v>0.376</v>
      </c>
      <c r="F224">
        <v>0.36499999999999999</v>
      </c>
      <c r="G224">
        <v>0</v>
      </c>
      <c r="H224">
        <v>0</v>
      </c>
      <c r="I224">
        <v>403.8</v>
      </c>
      <c r="J224">
        <v>377.6</v>
      </c>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508.5</v>
      </c>
      <c r="D225">
        <v>497.6</v>
      </c>
      <c r="E225">
        <v>0.40799999999999997</v>
      </c>
      <c r="F225">
        <v>0.40300000000000002</v>
      </c>
      <c r="G225">
        <v>0</v>
      </c>
      <c r="H225">
        <v>0</v>
      </c>
      <c r="I225">
        <v>372.1</v>
      </c>
      <c r="J225">
        <v>362.4</v>
      </c>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483.3</v>
      </c>
      <c r="D226">
        <v>461</v>
      </c>
      <c r="E226">
        <v>0.40500000000000003</v>
      </c>
      <c r="F226">
        <v>0.38700000000000001</v>
      </c>
      <c r="G226">
        <v>0</v>
      </c>
      <c r="H226">
        <v>0</v>
      </c>
      <c r="I226">
        <v>383.6</v>
      </c>
      <c r="J226">
        <v>356.5</v>
      </c>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380.7</v>
      </c>
      <c r="D227">
        <v>384.5</v>
      </c>
      <c r="E227">
        <v>0.50600000000000001</v>
      </c>
      <c r="F227">
        <v>0.47099999999999997</v>
      </c>
      <c r="G227">
        <v>0</v>
      </c>
      <c r="H227">
        <v>0</v>
      </c>
      <c r="I227">
        <v>331</v>
      </c>
      <c r="J227">
        <v>309.7</v>
      </c>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380.1</v>
      </c>
      <c r="D228">
        <v>367</v>
      </c>
      <c r="E228">
        <v>0.59899999999999998</v>
      </c>
      <c r="F228">
        <v>0.58699999999999997</v>
      </c>
      <c r="G228">
        <v>0</v>
      </c>
      <c r="H228">
        <v>0</v>
      </c>
      <c r="I228">
        <v>407.3</v>
      </c>
      <c r="J228">
        <v>382.8</v>
      </c>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533.79999999999995</v>
      </c>
      <c r="D229">
        <v>508.7</v>
      </c>
      <c r="E229">
        <v>0.32900000000000001</v>
      </c>
      <c r="F229">
        <v>0.315</v>
      </c>
      <c r="G229">
        <v>0</v>
      </c>
      <c r="H229">
        <v>0</v>
      </c>
      <c r="I229">
        <v>362.2</v>
      </c>
      <c r="J229">
        <v>339.5</v>
      </c>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466.6</v>
      </c>
      <c r="D230">
        <v>443.9</v>
      </c>
      <c r="E230">
        <v>0.46500000000000002</v>
      </c>
      <c r="F230">
        <v>0.44500000000000001</v>
      </c>
      <c r="G230">
        <v>0</v>
      </c>
      <c r="H230">
        <v>0</v>
      </c>
      <c r="I230">
        <v>426.6</v>
      </c>
      <c r="J230">
        <v>391.9</v>
      </c>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495</v>
      </c>
      <c r="D231">
        <v>473</v>
      </c>
      <c r="E231">
        <v>0.45</v>
      </c>
      <c r="F231">
        <v>0.44500000000000001</v>
      </c>
      <c r="G231">
        <v>6.0000000000000001E-3</v>
      </c>
      <c r="H231">
        <v>4.0000000000000001E-3</v>
      </c>
      <c r="I231">
        <v>404.7</v>
      </c>
      <c r="J231">
        <v>382.8</v>
      </c>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482.4</v>
      </c>
      <c r="D232">
        <v>430.1</v>
      </c>
      <c r="E232">
        <v>0.432</v>
      </c>
      <c r="F232">
        <v>0.432</v>
      </c>
      <c r="G232">
        <v>0</v>
      </c>
      <c r="H232">
        <v>0</v>
      </c>
      <c r="I232">
        <v>366.1</v>
      </c>
      <c r="J232">
        <v>326.39999999999998</v>
      </c>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382.5</v>
      </c>
      <c r="D233">
        <v>385.2</v>
      </c>
      <c r="E233">
        <v>0.496</v>
      </c>
      <c r="F233">
        <v>0.47899999999999998</v>
      </c>
      <c r="G233">
        <v>0</v>
      </c>
      <c r="H233">
        <v>0</v>
      </c>
      <c r="I233">
        <v>328.3</v>
      </c>
      <c r="J233">
        <v>322.7</v>
      </c>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478.2</v>
      </c>
      <c r="D234">
        <v>452.6</v>
      </c>
      <c r="E234">
        <v>0.48</v>
      </c>
      <c r="F234">
        <v>0.45500000000000002</v>
      </c>
      <c r="G234">
        <v>0</v>
      </c>
      <c r="H234">
        <v>0</v>
      </c>
      <c r="I234">
        <v>403</v>
      </c>
      <c r="J234">
        <v>365.4</v>
      </c>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507.8</v>
      </c>
      <c r="D235">
        <v>426</v>
      </c>
      <c r="E235">
        <v>0.36799999999999999</v>
      </c>
      <c r="F235">
        <v>0.41699999999999998</v>
      </c>
      <c r="G235">
        <v>0</v>
      </c>
      <c r="H235">
        <v>0</v>
      </c>
      <c r="I235">
        <v>332.5</v>
      </c>
      <c r="J235">
        <v>302.2</v>
      </c>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552.1</v>
      </c>
      <c r="D236">
        <v>529.20000000000005</v>
      </c>
      <c r="E236">
        <v>0.51400000000000001</v>
      </c>
      <c r="F236">
        <v>0.50900000000000001</v>
      </c>
      <c r="G236">
        <v>0</v>
      </c>
      <c r="H236">
        <v>0</v>
      </c>
      <c r="I236">
        <v>488.4</v>
      </c>
      <c r="J236">
        <v>468.3</v>
      </c>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461.9</v>
      </c>
      <c r="D237">
        <v>464.6</v>
      </c>
      <c r="E237">
        <v>0.46</v>
      </c>
      <c r="F237">
        <v>0.43099999999999999</v>
      </c>
      <c r="G237">
        <v>0</v>
      </c>
      <c r="H237">
        <v>0</v>
      </c>
      <c r="I237">
        <v>418.2</v>
      </c>
      <c r="J237">
        <v>403.8</v>
      </c>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347.6</v>
      </c>
      <c r="D238">
        <v>316.2</v>
      </c>
      <c r="E238">
        <v>0.47899999999999998</v>
      </c>
      <c r="F238">
        <v>0.47599999999999998</v>
      </c>
      <c r="G238">
        <v>0</v>
      </c>
      <c r="H238">
        <v>0</v>
      </c>
      <c r="I238">
        <v>314.5</v>
      </c>
      <c r="J238">
        <v>284.5</v>
      </c>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688.4</v>
      </c>
      <c r="D239">
        <v>626.70000000000005</v>
      </c>
      <c r="E239">
        <v>0.27300000000000002</v>
      </c>
      <c r="F239">
        <v>0.29199999999999998</v>
      </c>
      <c r="G239">
        <v>0.107</v>
      </c>
      <c r="H239">
        <v>3.4000000000000002E-2</v>
      </c>
      <c r="I239">
        <v>374.2</v>
      </c>
      <c r="J239">
        <v>348.9</v>
      </c>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504.3</v>
      </c>
      <c r="D240">
        <v>439.3</v>
      </c>
      <c r="E240">
        <v>0.35899999999999999</v>
      </c>
      <c r="F240">
        <v>0.37</v>
      </c>
      <c r="G240">
        <v>0</v>
      </c>
      <c r="H240">
        <v>0</v>
      </c>
      <c r="I240">
        <v>420.4</v>
      </c>
      <c r="J240">
        <v>373.6</v>
      </c>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880</v>
      </c>
      <c r="D241" t="s">
        <v>880</v>
      </c>
      <c r="E241" t="s">
        <v>880</v>
      </c>
      <c r="F241" t="s">
        <v>880</v>
      </c>
      <c r="G241" t="s">
        <v>880</v>
      </c>
      <c r="H241" t="s">
        <v>880</v>
      </c>
      <c r="I241" t="s">
        <v>880</v>
      </c>
      <c r="J241" t="s">
        <v>880</v>
      </c>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612.20000000000005</v>
      </c>
      <c r="D242">
        <v>555.9</v>
      </c>
      <c r="E242">
        <v>0.33200000000000002</v>
      </c>
      <c r="F242">
        <v>0.33</v>
      </c>
      <c r="G242">
        <v>0</v>
      </c>
      <c r="H242">
        <v>0</v>
      </c>
      <c r="I242">
        <v>424</v>
      </c>
      <c r="J242">
        <v>384.3</v>
      </c>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563.20000000000005</v>
      </c>
      <c r="D243">
        <v>530</v>
      </c>
      <c r="E243">
        <v>0.438</v>
      </c>
      <c r="F243">
        <v>0.42199999999999999</v>
      </c>
      <c r="G243">
        <v>0</v>
      </c>
      <c r="H243">
        <v>0</v>
      </c>
      <c r="I243">
        <v>448.7</v>
      </c>
      <c r="J243">
        <v>414.7</v>
      </c>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578</v>
      </c>
      <c r="D244">
        <v>570.9</v>
      </c>
      <c r="E244">
        <v>0.38800000000000001</v>
      </c>
      <c r="F244">
        <v>0.35499999999999998</v>
      </c>
      <c r="G244">
        <v>0</v>
      </c>
      <c r="H244">
        <v>0</v>
      </c>
      <c r="I244">
        <v>403.5</v>
      </c>
      <c r="J244">
        <v>379.3</v>
      </c>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509.1</v>
      </c>
      <c r="D245">
        <v>478.7</v>
      </c>
      <c r="E245">
        <v>0.32100000000000001</v>
      </c>
      <c r="F245">
        <v>0.32</v>
      </c>
      <c r="G245">
        <v>8.0000000000000002E-3</v>
      </c>
      <c r="H245">
        <v>8.0000000000000002E-3</v>
      </c>
      <c r="I245">
        <v>347.7</v>
      </c>
      <c r="J245">
        <v>321.3</v>
      </c>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542.70000000000005</v>
      </c>
      <c r="D246">
        <v>502</v>
      </c>
      <c r="E246">
        <v>0.52800000000000002</v>
      </c>
      <c r="F246">
        <v>0.52100000000000002</v>
      </c>
      <c r="G246">
        <v>2.1999999999999999E-2</v>
      </c>
      <c r="H246">
        <v>1.2E-2</v>
      </c>
      <c r="I246">
        <v>523.70000000000005</v>
      </c>
      <c r="J246">
        <v>479.3</v>
      </c>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693.7</v>
      </c>
      <c r="D247">
        <v>660.8</v>
      </c>
      <c r="E247">
        <v>0.26700000000000002</v>
      </c>
      <c r="F247">
        <v>0.251</v>
      </c>
      <c r="G247">
        <v>0</v>
      </c>
      <c r="H247">
        <v>0</v>
      </c>
      <c r="I247">
        <v>333</v>
      </c>
      <c r="J247">
        <v>310.8</v>
      </c>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624.9</v>
      </c>
      <c r="D248">
        <v>541.4</v>
      </c>
      <c r="E248">
        <v>0.35199999999999998</v>
      </c>
      <c r="F248">
        <v>0.41499999999999998</v>
      </c>
      <c r="G248">
        <v>7.5999999999999998E-2</v>
      </c>
      <c r="H248">
        <v>0.04</v>
      </c>
      <c r="I248">
        <v>420.3</v>
      </c>
      <c r="J248">
        <v>403.9</v>
      </c>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880</v>
      </c>
      <c r="D249" t="s">
        <v>880</v>
      </c>
      <c r="E249" t="s">
        <v>880</v>
      </c>
      <c r="F249" t="s">
        <v>880</v>
      </c>
      <c r="G249" t="s">
        <v>880</v>
      </c>
      <c r="H249" t="s">
        <v>880</v>
      </c>
      <c r="I249" t="s">
        <v>880</v>
      </c>
      <c r="J249" t="s">
        <v>880</v>
      </c>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905</v>
      </c>
      <c r="B250" s="154"/>
      <c r="C250" t="s">
        <v>880</v>
      </c>
      <c r="D250" t="s">
        <v>880</v>
      </c>
      <c r="E250" t="s">
        <v>880</v>
      </c>
      <c r="F250" t="s">
        <v>880</v>
      </c>
      <c r="G250" t="s">
        <v>880</v>
      </c>
      <c r="H250" t="s">
        <v>880</v>
      </c>
      <c r="I250" t="s">
        <v>880</v>
      </c>
      <c r="J250" t="s">
        <v>880</v>
      </c>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912</v>
      </c>
      <c r="B251" s="154"/>
      <c r="C251">
        <v>422.9</v>
      </c>
      <c r="D251">
        <v>404.5</v>
      </c>
      <c r="E251">
        <v>0.48899999999999999</v>
      </c>
      <c r="F251">
        <v>0.46899999999999997</v>
      </c>
      <c r="G251">
        <v>0</v>
      </c>
      <c r="H251">
        <v>0</v>
      </c>
      <c r="I251">
        <v>348.5</v>
      </c>
      <c r="J251">
        <v>321.2</v>
      </c>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487</v>
      </c>
      <c r="D252">
        <v>469.5</v>
      </c>
      <c r="E252">
        <v>0.46700000000000003</v>
      </c>
      <c r="F252">
        <v>0.436</v>
      </c>
      <c r="G252">
        <v>0</v>
      </c>
      <c r="H252">
        <v>0</v>
      </c>
      <c r="I252">
        <v>406.8</v>
      </c>
      <c r="J252">
        <v>368</v>
      </c>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396.7</v>
      </c>
      <c r="D253">
        <v>377.7</v>
      </c>
      <c r="E253">
        <v>0.59899999999999998</v>
      </c>
      <c r="F253">
        <v>0.58599999999999997</v>
      </c>
      <c r="G253">
        <v>8.3000000000000004E-2</v>
      </c>
      <c r="H253">
        <v>3.4000000000000002E-2</v>
      </c>
      <c r="I253">
        <v>420.8</v>
      </c>
      <c r="J253">
        <v>388.7</v>
      </c>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372.4</v>
      </c>
      <c r="D254">
        <v>361.6</v>
      </c>
      <c r="E254">
        <v>0.46700000000000003</v>
      </c>
      <c r="F254">
        <v>0.44800000000000001</v>
      </c>
      <c r="G254">
        <v>0</v>
      </c>
      <c r="H254">
        <v>0</v>
      </c>
      <c r="I254">
        <v>355</v>
      </c>
      <c r="J254">
        <v>337.1</v>
      </c>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605.6</v>
      </c>
      <c r="D255">
        <v>555.4</v>
      </c>
      <c r="E255">
        <v>0.312</v>
      </c>
      <c r="F255">
        <v>0.31</v>
      </c>
      <c r="G255">
        <v>0</v>
      </c>
      <c r="H255">
        <v>0</v>
      </c>
      <c r="I255">
        <v>394.6</v>
      </c>
      <c r="J255">
        <v>361.5</v>
      </c>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513.5</v>
      </c>
      <c r="D256">
        <v>485.9</v>
      </c>
      <c r="E256">
        <v>0.39700000000000002</v>
      </c>
      <c r="F256">
        <v>0.38400000000000001</v>
      </c>
      <c r="G256">
        <v>0</v>
      </c>
      <c r="H256">
        <v>0</v>
      </c>
      <c r="I256">
        <v>390.3</v>
      </c>
      <c r="J256">
        <v>363.2</v>
      </c>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462.9</v>
      </c>
      <c r="D257">
        <v>456.3</v>
      </c>
      <c r="E257">
        <v>0.45</v>
      </c>
      <c r="F257">
        <v>0.437</v>
      </c>
      <c r="G257">
        <v>0</v>
      </c>
      <c r="H257">
        <v>0</v>
      </c>
      <c r="I257">
        <v>433</v>
      </c>
      <c r="J257">
        <v>419</v>
      </c>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491.2</v>
      </c>
      <c r="D258">
        <v>468.5</v>
      </c>
      <c r="E258">
        <v>0.43099999999999999</v>
      </c>
      <c r="F258">
        <v>0.40699999999999997</v>
      </c>
      <c r="G258">
        <v>0</v>
      </c>
      <c r="H258">
        <v>0</v>
      </c>
      <c r="I258">
        <v>392.3</v>
      </c>
      <c r="J258">
        <v>358.4</v>
      </c>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313.60000000000002</v>
      </c>
      <c r="D259">
        <v>303.8</v>
      </c>
      <c r="E259">
        <v>0.627</v>
      </c>
      <c r="F259">
        <v>0.61599999999999999</v>
      </c>
      <c r="G259">
        <v>0</v>
      </c>
      <c r="H259">
        <v>0</v>
      </c>
      <c r="I259">
        <v>360</v>
      </c>
      <c r="J259">
        <v>340.1</v>
      </c>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462.7</v>
      </c>
      <c r="D260">
        <v>431.5</v>
      </c>
      <c r="E260">
        <v>0.45500000000000002</v>
      </c>
      <c r="F260">
        <v>0.45600000000000002</v>
      </c>
      <c r="G260">
        <v>0</v>
      </c>
      <c r="H260">
        <v>0</v>
      </c>
      <c r="I260">
        <v>388.8</v>
      </c>
      <c r="J260">
        <v>363.2</v>
      </c>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880</v>
      </c>
      <c r="D261" t="s">
        <v>880</v>
      </c>
      <c r="E261" t="s">
        <v>880</v>
      </c>
      <c r="F261" t="s">
        <v>880</v>
      </c>
      <c r="G261" t="s">
        <v>880</v>
      </c>
      <c r="H261" t="s">
        <v>880</v>
      </c>
      <c r="I261" t="s">
        <v>880</v>
      </c>
      <c r="J261" t="s">
        <v>880</v>
      </c>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501.1</v>
      </c>
      <c r="D262">
        <v>468.6</v>
      </c>
      <c r="E262">
        <v>0.45500000000000002</v>
      </c>
      <c r="F262">
        <v>0.439</v>
      </c>
      <c r="G262">
        <v>0</v>
      </c>
      <c r="H262">
        <v>0</v>
      </c>
      <c r="I262">
        <v>400.2</v>
      </c>
      <c r="J262">
        <v>365.6</v>
      </c>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623</v>
      </c>
      <c r="D263">
        <v>590.6</v>
      </c>
      <c r="E263">
        <v>0.32400000000000001</v>
      </c>
      <c r="F263">
        <v>0.31</v>
      </c>
      <c r="G263">
        <v>8.0000000000000002E-3</v>
      </c>
      <c r="H263">
        <v>8.9999999999999993E-3</v>
      </c>
      <c r="I263">
        <v>451.2</v>
      </c>
      <c r="J263">
        <v>418.3</v>
      </c>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587</v>
      </c>
      <c r="D264">
        <v>570</v>
      </c>
      <c r="E264">
        <v>0.27700000000000002</v>
      </c>
      <c r="F264">
        <v>0.27400000000000002</v>
      </c>
      <c r="G264">
        <v>6.5000000000000002E-2</v>
      </c>
      <c r="H264">
        <v>4.2999999999999997E-2</v>
      </c>
      <c r="I264">
        <v>359.7</v>
      </c>
      <c r="J264">
        <v>340.8</v>
      </c>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538.79999999999995</v>
      </c>
      <c r="D265">
        <v>509.6</v>
      </c>
      <c r="E265">
        <v>0.43</v>
      </c>
      <c r="F265">
        <v>0.41099999999999998</v>
      </c>
      <c r="G265">
        <v>0.53800000000000003</v>
      </c>
      <c r="H265">
        <v>0.433</v>
      </c>
      <c r="I265">
        <v>432</v>
      </c>
      <c r="J265">
        <v>396.8</v>
      </c>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495</v>
      </c>
      <c r="D266">
        <v>490.6</v>
      </c>
      <c r="E266">
        <v>0.35699999999999998</v>
      </c>
      <c r="F266">
        <v>0.32</v>
      </c>
      <c r="G266">
        <v>4.0000000000000001E-3</v>
      </c>
      <c r="H266">
        <v>3.0000000000000001E-3</v>
      </c>
      <c r="I266">
        <v>363</v>
      </c>
      <c r="J266">
        <v>339.7</v>
      </c>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446.9</v>
      </c>
      <c r="D267">
        <v>437.5</v>
      </c>
      <c r="E267">
        <v>0.46400000000000002</v>
      </c>
      <c r="F267">
        <v>0.43</v>
      </c>
      <c r="G267">
        <v>0</v>
      </c>
      <c r="H267">
        <v>0</v>
      </c>
      <c r="I267">
        <v>354.3</v>
      </c>
      <c r="J267">
        <v>326.8</v>
      </c>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319.39999999999998</v>
      </c>
      <c r="D268">
        <v>316.2</v>
      </c>
      <c r="E268">
        <v>0.624</v>
      </c>
      <c r="F268">
        <v>0.60099999999999998</v>
      </c>
      <c r="G268">
        <v>0</v>
      </c>
      <c r="H268">
        <v>0</v>
      </c>
      <c r="I268">
        <v>356.8</v>
      </c>
      <c r="J268">
        <v>335.3</v>
      </c>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505.1</v>
      </c>
      <c r="D269">
        <v>485.6</v>
      </c>
      <c r="E269">
        <v>0.36799999999999999</v>
      </c>
      <c r="F269">
        <v>0.34</v>
      </c>
      <c r="G269">
        <v>0</v>
      </c>
      <c r="H269">
        <v>0</v>
      </c>
      <c r="I269">
        <v>371.4</v>
      </c>
      <c r="J269">
        <v>340.6</v>
      </c>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467.6</v>
      </c>
      <c r="D270">
        <v>449.4</v>
      </c>
      <c r="E270">
        <v>0.46400000000000002</v>
      </c>
      <c r="F270">
        <v>0.44600000000000001</v>
      </c>
      <c r="G270">
        <v>0</v>
      </c>
      <c r="H270">
        <v>0</v>
      </c>
      <c r="I270">
        <v>398.5</v>
      </c>
      <c r="J270">
        <v>369.7</v>
      </c>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588.79999999999995</v>
      </c>
      <c r="D271">
        <v>548.79999999999995</v>
      </c>
      <c r="E271">
        <v>0.44700000000000001</v>
      </c>
      <c r="F271">
        <v>0.439</v>
      </c>
      <c r="G271">
        <v>2.1000000000000001E-2</v>
      </c>
      <c r="H271">
        <v>7.0000000000000001E-3</v>
      </c>
      <c r="I271">
        <v>476.7</v>
      </c>
      <c r="J271">
        <v>438.8</v>
      </c>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410</v>
      </c>
      <c r="D272">
        <v>384.2</v>
      </c>
      <c r="E272">
        <v>0.54500000000000004</v>
      </c>
      <c r="F272">
        <v>0.53200000000000003</v>
      </c>
      <c r="G272">
        <v>0</v>
      </c>
      <c r="H272">
        <v>0</v>
      </c>
      <c r="I272">
        <v>418</v>
      </c>
      <c r="J272">
        <v>383.1</v>
      </c>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518</v>
      </c>
      <c r="D273">
        <v>495</v>
      </c>
      <c r="E273">
        <v>0.39700000000000002</v>
      </c>
      <c r="F273">
        <v>0.37</v>
      </c>
      <c r="G273">
        <v>0</v>
      </c>
      <c r="H273">
        <v>0</v>
      </c>
      <c r="I273">
        <v>364.6</v>
      </c>
      <c r="J273">
        <v>333.2</v>
      </c>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313.3</v>
      </c>
      <c r="D274">
        <v>300.2</v>
      </c>
      <c r="E274">
        <v>0.60299999999999998</v>
      </c>
      <c r="F274">
        <v>0.59299999999999997</v>
      </c>
      <c r="G274">
        <v>0</v>
      </c>
      <c r="H274">
        <v>0</v>
      </c>
      <c r="I274">
        <v>352.7</v>
      </c>
      <c r="J274">
        <v>328.7</v>
      </c>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735.1</v>
      </c>
      <c r="D275">
        <v>693.5</v>
      </c>
      <c r="E275">
        <v>0.25700000000000001</v>
      </c>
      <c r="F275">
        <v>0.252</v>
      </c>
      <c r="G275">
        <v>3.0000000000000001E-3</v>
      </c>
      <c r="H275">
        <v>5.8999999999999997E-2</v>
      </c>
      <c r="I275">
        <v>446.9</v>
      </c>
      <c r="J275">
        <v>415.3</v>
      </c>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589.20000000000005</v>
      </c>
      <c r="D276">
        <v>555.9</v>
      </c>
      <c r="E276">
        <v>0.34499999999999997</v>
      </c>
      <c r="F276">
        <v>0.33700000000000002</v>
      </c>
      <c r="G276">
        <v>3.9E-2</v>
      </c>
      <c r="H276">
        <v>1.2999999999999999E-2</v>
      </c>
      <c r="I276">
        <v>413.1</v>
      </c>
      <c r="J276">
        <v>384.5</v>
      </c>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405.7</v>
      </c>
      <c r="D277">
        <v>319.60000000000002</v>
      </c>
      <c r="E277">
        <v>0.55500000000000005</v>
      </c>
      <c r="F277">
        <v>0.6</v>
      </c>
      <c r="G277">
        <v>0</v>
      </c>
      <c r="H277">
        <v>0</v>
      </c>
      <c r="I277">
        <v>426.9</v>
      </c>
      <c r="J277">
        <v>376.7</v>
      </c>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296.89999999999998</v>
      </c>
      <c r="D278">
        <v>293.3</v>
      </c>
      <c r="E278">
        <v>0.58199999999999996</v>
      </c>
      <c r="F278">
        <v>0.56599999999999995</v>
      </c>
      <c r="G278">
        <v>0</v>
      </c>
      <c r="H278">
        <v>0</v>
      </c>
      <c r="I278">
        <v>320</v>
      </c>
      <c r="J278">
        <v>302.60000000000002</v>
      </c>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595.20000000000005</v>
      </c>
      <c r="D279">
        <v>557.70000000000005</v>
      </c>
      <c r="E279">
        <v>0.39600000000000002</v>
      </c>
      <c r="F279">
        <v>0.38200000000000001</v>
      </c>
      <c r="G279">
        <v>2.5999999999999999E-2</v>
      </c>
      <c r="H279">
        <v>2.5000000000000001E-2</v>
      </c>
      <c r="I279">
        <v>455.2</v>
      </c>
      <c r="J279">
        <v>418.1</v>
      </c>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625.4</v>
      </c>
      <c r="D280">
        <v>581.79999999999995</v>
      </c>
      <c r="E280">
        <v>0.29799999999999999</v>
      </c>
      <c r="F280">
        <v>0.30199999999999999</v>
      </c>
      <c r="G280">
        <v>4.0000000000000001E-3</v>
      </c>
      <c r="H280">
        <v>2E-3</v>
      </c>
      <c r="I280">
        <v>429.3</v>
      </c>
      <c r="J280">
        <v>399.6</v>
      </c>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466.2</v>
      </c>
      <c r="D281">
        <v>441.6</v>
      </c>
      <c r="E281">
        <v>0.54400000000000004</v>
      </c>
      <c r="F281">
        <v>0.54</v>
      </c>
      <c r="G281">
        <v>0.151</v>
      </c>
      <c r="H281">
        <v>4.3999999999999997E-2</v>
      </c>
      <c r="I281">
        <v>431.7</v>
      </c>
      <c r="J281">
        <v>406.3</v>
      </c>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342.9</v>
      </c>
      <c r="D282">
        <v>333.9</v>
      </c>
      <c r="E282">
        <v>0.59199999999999997</v>
      </c>
      <c r="F282">
        <v>0.59299999999999997</v>
      </c>
      <c r="G282">
        <v>0</v>
      </c>
      <c r="H282">
        <v>0</v>
      </c>
      <c r="I282">
        <v>352</v>
      </c>
      <c r="J282">
        <v>343.7</v>
      </c>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463.2</v>
      </c>
      <c r="D283">
        <v>439.1</v>
      </c>
      <c r="E283">
        <v>0.443</v>
      </c>
      <c r="F283">
        <v>0.433</v>
      </c>
      <c r="G283">
        <v>7.0000000000000001E-3</v>
      </c>
      <c r="H283">
        <v>0</v>
      </c>
      <c r="I283">
        <v>338.3</v>
      </c>
      <c r="J283">
        <v>315.3</v>
      </c>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519.6</v>
      </c>
      <c r="D284">
        <v>481.7</v>
      </c>
      <c r="E284">
        <v>0.41699999999999998</v>
      </c>
      <c r="F284">
        <v>0.40100000000000002</v>
      </c>
      <c r="G284">
        <v>0</v>
      </c>
      <c r="H284">
        <v>0</v>
      </c>
      <c r="I284">
        <v>382.6</v>
      </c>
      <c r="J284">
        <v>343.8</v>
      </c>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608.20000000000005</v>
      </c>
      <c r="D285">
        <v>578.1</v>
      </c>
      <c r="E285">
        <v>0.36499999999999999</v>
      </c>
      <c r="F285">
        <v>0.33300000000000002</v>
      </c>
      <c r="G285">
        <v>8.7999999999999995E-2</v>
      </c>
      <c r="H285">
        <v>8.0000000000000002E-3</v>
      </c>
      <c r="I285">
        <v>403.9</v>
      </c>
      <c r="J285">
        <v>362.9</v>
      </c>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342</v>
      </c>
      <c r="D286">
        <v>330.1</v>
      </c>
      <c r="E286">
        <v>0.52600000000000002</v>
      </c>
      <c r="F286">
        <v>0.50900000000000001</v>
      </c>
      <c r="G286">
        <v>0</v>
      </c>
      <c r="H286">
        <v>0</v>
      </c>
      <c r="I286">
        <v>325.2</v>
      </c>
      <c r="J286">
        <v>302.60000000000002</v>
      </c>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551.70000000000005</v>
      </c>
      <c r="D287">
        <v>518</v>
      </c>
      <c r="E287">
        <v>0.38100000000000001</v>
      </c>
      <c r="F287">
        <v>0.35399999999999998</v>
      </c>
      <c r="G287">
        <v>0</v>
      </c>
      <c r="H287">
        <v>0</v>
      </c>
      <c r="I287">
        <v>386.1</v>
      </c>
      <c r="J287">
        <v>347.5</v>
      </c>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361.9</v>
      </c>
      <c r="D288">
        <v>353</v>
      </c>
      <c r="E288">
        <v>0.59899999999999998</v>
      </c>
      <c r="F288">
        <v>0.57799999999999996</v>
      </c>
      <c r="G288">
        <v>0</v>
      </c>
      <c r="H288">
        <v>0</v>
      </c>
      <c r="I288">
        <v>383.7</v>
      </c>
      <c r="J288">
        <v>356.4</v>
      </c>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356.5</v>
      </c>
      <c r="D289">
        <v>347</v>
      </c>
      <c r="E289">
        <v>0.55600000000000005</v>
      </c>
      <c r="F289">
        <v>0.53800000000000003</v>
      </c>
      <c r="G289">
        <v>0</v>
      </c>
      <c r="H289">
        <v>0</v>
      </c>
      <c r="I289">
        <v>376.2</v>
      </c>
      <c r="J289">
        <v>353.2</v>
      </c>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566.4</v>
      </c>
      <c r="D290">
        <v>529.29999999999995</v>
      </c>
      <c r="E290">
        <v>0.49099999999999999</v>
      </c>
      <c r="F290">
        <v>0.48199999999999998</v>
      </c>
      <c r="G290">
        <v>5.0000000000000001E-3</v>
      </c>
      <c r="H290">
        <v>7.0000000000000001E-3</v>
      </c>
      <c r="I290">
        <v>482</v>
      </c>
      <c r="J290">
        <v>442.3</v>
      </c>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430.6</v>
      </c>
      <c r="D291">
        <v>419.6</v>
      </c>
      <c r="E291">
        <v>0.40400000000000003</v>
      </c>
      <c r="F291">
        <v>0.38600000000000001</v>
      </c>
      <c r="G291">
        <v>0</v>
      </c>
      <c r="H291">
        <v>0</v>
      </c>
      <c r="I291">
        <v>354.2</v>
      </c>
      <c r="J291">
        <v>333.5</v>
      </c>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497.2</v>
      </c>
      <c r="D292">
        <v>472.2</v>
      </c>
      <c r="E292">
        <v>0.38500000000000001</v>
      </c>
      <c r="F292">
        <v>0.374</v>
      </c>
      <c r="G292">
        <v>0</v>
      </c>
      <c r="H292">
        <v>0</v>
      </c>
      <c r="I292">
        <v>355.4</v>
      </c>
      <c r="J292">
        <v>331.1</v>
      </c>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395.1</v>
      </c>
      <c r="D293">
        <v>388.9</v>
      </c>
      <c r="E293">
        <v>0.54100000000000004</v>
      </c>
      <c r="F293">
        <v>0.51800000000000002</v>
      </c>
      <c r="G293">
        <v>0</v>
      </c>
      <c r="H293">
        <v>0</v>
      </c>
      <c r="I293">
        <v>390</v>
      </c>
      <c r="J293">
        <v>366.7</v>
      </c>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507.5</v>
      </c>
      <c r="D294">
        <v>461.3</v>
      </c>
      <c r="E294">
        <v>0.34399999999999997</v>
      </c>
      <c r="F294">
        <v>0.35399999999999998</v>
      </c>
      <c r="G294">
        <v>0</v>
      </c>
      <c r="H294">
        <v>0</v>
      </c>
      <c r="I294">
        <v>375.5</v>
      </c>
      <c r="J294">
        <v>349.1</v>
      </c>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320.7</v>
      </c>
      <c r="D295">
        <v>318.2</v>
      </c>
      <c r="E295">
        <v>0.63500000000000001</v>
      </c>
      <c r="F295">
        <v>0.61499999999999999</v>
      </c>
      <c r="G295">
        <v>0</v>
      </c>
      <c r="H295">
        <v>0</v>
      </c>
      <c r="I295">
        <v>359.6</v>
      </c>
      <c r="J295">
        <v>339.4</v>
      </c>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730.7</v>
      </c>
      <c r="D296">
        <v>698.2</v>
      </c>
      <c r="E296">
        <v>0.28699999999999998</v>
      </c>
      <c r="F296">
        <v>0.28499999999999998</v>
      </c>
      <c r="G296">
        <v>1.2999999999999999E-2</v>
      </c>
      <c r="H296">
        <v>1E-3</v>
      </c>
      <c r="I296">
        <v>402</v>
      </c>
      <c r="J296">
        <v>382.9</v>
      </c>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468.3</v>
      </c>
      <c r="D297">
        <v>456.6</v>
      </c>
      <c r="E297">
        <v>0.44900000000000001</v>
      </c>
      <c r="F297">
        <v>0.47799999999999998</v>
      </c>
      <c r="G297">
        <v>0</v>
      </c>
      <c r="H297">
        <v>0</v>
      </c>
      <c r="I297">
        <v>358.8</v>
      </c>
      <c r="J297">
        <v>369.1</v>
      </c>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539</v>
      </c>
      <c r="D298">
        <v>497</v>
      </c>
      <c r="E298">
        <v>0.371</v>
      </c>
      <c r="F298">
        <v>0.38200000000000001</v>
      </c>
      <c r="G298">
        <v>0</v>
      </c>
      <c r="H298">
        <v>0</v>
      </c>
      <c r="I298">
        <v>417.6</v>
      </c>
      <c r="J298">
        <v>393.1</v>
      </c>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347.9</v>
      </c>
      <c r="D299">
        <v>329.8</v>
      </c>
      <c r="E299">
        <v>0.53900000000000003</v>
      </c>
      <c r="F299">
        <v>0.52600000000000002</v>
      </c>
      <c r="G299">
        <v>0</v>
      </c>
      <c r="H299">
        <v>0</v>
      </c>
      <c r="I299">
        <v>364.9</v>
      </c>
      <c r="J299">
        <v>338.9</v>
      </c>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491.3</v>
      </c>
      <c r="D300">
        <v>522.79999999999995</v>
      </c>
      <c r="E300">
        <v>0.19700000000000001</v>
      </c>
      <c r="F300">
        <v>0.17699999999999999</v>
      </c>
      <c r="G300">
        <v>0</v>
      </c>
      <c r="H300">
        <v>0</v>
      </c>
      <c r="I300">
        <v>281.10000000000002</v>
      </c>
      <c r="J300">
        <v>284.10000000000002</v>
      </c>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324.89999999999998</v>
      </c>
      <c r="D301">
        <v>305.2</v>
      </c>
      <c r="E301">
        <v>0.58799999999999997</v>
      </c>
      <c r="F301">
        <v>0.58399999999999996</v>
      </c>
      <c r="G301">
        <v>0</v>
      </c>
      <c r="H301">
        <v>0</v>
      </c>
      <c r="I301">
        <v>342.6</v>
      </c>
      <c r="J301">
        <v>320.5</v>
      </c>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439.7</v>
      </c>
      <c r="D302">
        <v>408.1</v>
      </c>
      <c r="E302">
        <v>0.47799999999999998</v>
      </c>
      <c r="F302">
        <v>0.47799999999999998</v>
      </c>
      <c r="G302">
        <v>0</v>
      </c>
      <c r="H302">
        <v>0</v>
      </c>
      <c r="I302">
        <v>372.4</v>
      </c>
      <c r="J302">
        <v>349.3</v>
      </c>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420.8</v>
      </c>
      <c r="D303">
        <v>425.9</v>
      </c>
      <c r="E303">
        <v>0.51800000000000002</v>
      </c>
      <c r="F303">
        <v>0.48099999999999998</v>
      </c>
      <c r="G303">
        <v>0</v>
      </c>
      <c r="H303">
        <v>0</v>
      </c>
      <c r="I303">
        <v>370.6</v>
      </c>
      <c r="J303">
        <v>349.4</v>
      </c>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303.39999999999998</v>
      </c>
      <c r="D304">
        <v>292.89999999999998</v>
      </c>
      <c r="E304">
        <v>0.61899999999999999</v>
      </c>
      <c r="F304">
        <v>0.60899999999999999</v>
      </c>
      <c r="G304">
        <v>0</v>
      </c>
      <c r="H304">
        <v>0</v>
      </c>
      <c r="I304">
        <v>347.2</v>
      </c>
      <c r="J304">
        <v>328.7</v>
      </c>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507.5</v>
      </c>
      <c r="D305">
        <v>483.5</v>
      </c>
      <c r="E305">
        <v>0.49199999999999999</v>
      </c>
      <c r="F305">
        <v>0.47499999999999998</v>
      </c>
      <c r="G305">
        <v>0.10100000000000001</v>
      </c>
      <c r="H305">
        <v>9.9000000000000005E-2</v>
      </c>
      <c r="I305">
        <v>455.6</v>
      </c>
      <c r="J305">
        <v>419.6</v>
      </c>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663</v>
      </c>
      <c r="D306">
        <v>620.79999999999995</v>
      </c>
      <c r="E306">
        <v>0.33600000000000002</v>
      </c>
      <c r="F306">
        <v>0.32800000000000001</v>
      </c>
      <c r="G306">
        <v>9.5000000000000001E-2</v>
      </c>
      <c r="H306">
        <v>7.1999999999999995E-2</v>
      </c>
      <c r="I306">
        <v>410.9</v>
      </c>
      <c r="J306">
        <v>379</v>
      </c>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630.4</v>
      </c>
      <c r="D307">
        <v>550.1</v>
      </c>
      <c r="E307">
        <v>0.32</v>
      </c>
      <c r="F307">
        <v>0.32800000000000001</v>
      </c>
      <c r="G307">
        <v>0</v>
      </c>
      <c r="H307">
        <v>0</v>
      </c>
      <c r="I307">
        <v>360.9</v>
      </c>
      <c r="J307">
        <v>318.2</v>
      </c>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509.6</v>
      </c>
      <c r="D308">
        <v>476.1</v>
      </c>
      <c r="E308">
        <v>0.22900000000000001</v>
      </c>
      <c r="F308">
        <v>0.224</v>
      </c>
      <c r="G308">
        <v>0</v>
      </c>
      <c r="H308">
        <v>0</v>
      </c>
      <c r="I308">
        <v>302.5</v>
      </c>
      <c r="J308">
        <v>285.5</v>
      </c>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577.79999999999995</v>
      </c>
      <c r="D309">
        <v>517.6</v>
      </c>
      <c r="E309">
        <v>0.42099999999999999</v>
      </c>
      <c r="F309">
        <v>0.442</v>
      </c>
      <c r="G309">
        <v>1.7999999999999999E-2</v>
      </c>
      <c r="H309">
        <v>5.5E-2</v>
      </c>
      <c r="I309">
        <v>442.2</v>
      </c>
      <c r="J309">
        <v>411.3</v>
      </c>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378</v>
      </c>
      <c r="D310">
        <v>359.9</v>
      </c>
      <c r="E310">
        <v>0.54</v>
      </c>
      <c r="F310">
        <v>0.53400000000000003</v>
      </c>
      <c r="G310">
        <v>0</v>
      </c>
      <c r="H310">
        <v>0</v>
      </c>
      <c r="I310">
        <v>373.3</v>
      </c>
      <c r="J310">
        <v>348.9</v>
      </c>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508</v>
      </c>
      <c r="D311">
        <v>449.8</v>
      </c>
      <c r="E311">
        <v>0.47899999999999998</v>
      </c>
      <c r="F311">
        <v>0.48</v>
      </c>
      <c r="G311">
        <v>0.14799999999999999</v>
      </c>
      <c r="H311">
        <v>9.4E-2</v>
      </c>
      <c r="I311">
        <v>437.1</v>
      </c>
      <c r="J311">
        <v>389.3</v>
      </c>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380.6</v>
      </c>
      <c r="D312">
        <v>373</v>
      </c>
      <c r="E312">
        <v>0.51700000000000002</v>
      </c>
      <c r="F312">
        <v>0.502</v>
      </c>
      <c r="G312">
        <v>0</v>
      </c>
      <c r="H312">
        <v>0</v>
      </c>
      <c r="I312">
        <v>315.89999999999998</v>
      </c>
      <c r="J312">
        <v>305.10000000000002</v>
      </c>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348.6</v>
      </c>
      <c r="D313">
        <v>337.4</v>
      </c>
      <c r="E313">
        <v>0.58899999999999997</v>
      </c>
      <c r="F313">
        <v>0.57799999999999996</v>
      </c>
      <c r="G313">
        <v>0</v>
      </c>
      <c r="H313">
        <v>0</v>
      </c>
      <c r="I313">
        <v>364.9</v>
      </c>
      <c r="J313">
        <v>345.7</v>
      </c>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446.8</v>
      </c>
      <c r="D314">
        <v>418.1</v>
      </c>
      <c r="E314">
        <v>0.48899999999999999</v>
      </c>
      <c r="F314">
        <v>0.45</v>
      </c>
      <c r="G314">
        <v>0</v>
      </c>
      <c r="H314">
        <v>0</v>
      </c>
      <c r="I314">
        <v>393.5</v>
      </c>
      <c r="J314">
        <v>341.6</v>
      </c>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405.4</v>
      </c>
      <c r="D315">
        <v>396.4</v>
      </c>
      <c r="E315">
        <v>0.50600000000000001</v>
      </c>
      <c r="F315">
        <v>0.47599999999999998</v>
      </c>
      <c r="G315">
        <v>0</v>
      </c>
      <c r="H315">
        <v>0</v>
      </c>
      <c r="I315">
        <v>342</v>
      </c>
      <c r="J315">
        <v>316.2</v>
      </c>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536.9</v>
      </c>
      <c r="D316">
        <v>489.4</v>
      </c>
      <c r="E316">
        <v>0.49</v>
      </c>
      <c r="F316">
        <v>0.498</v>
      </c>
      <c r="G316">
        <v>7.3999999999999996E-2</v>
      </c>
      <c r="H316">
        <v>6.4000000000000001E-2</v>
      </c>
      <c r="I316">
        <v>456.6</v>
      </c>
      <c r="J316">
        <v>426.5</v>
      </c>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317.7</v>
      </c>
      <c r="D317">
        <v>307.8</v>
      </c>
      <c r="E317">
        <v>0.54100000000000004</v>
      </c>
      <c r="F317">
        <v>0.53900000000000003</v>
      </c>
      <c r="G317">
        <v>0</v>
      </c>
      <c r="H317">
        <v>0</v>
      </c>
      <c r="I317">
        <v>315.60000000000002</v>
      </c>
      <c r="J317">
        <v>307.5</v>
      </c>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504.6</v>
      </c>
      <c r="D318">
        <v>496.9</v>
      </c>
      <c r="E318">
        <v>0.47499999999999998</v>
      </c>
      <c r="F318">
        <v>0.44500000000000001</v>
      </c>
      <c r="G318">
        <v>0</v>
      </c>
      <c r="H318">
        <v>0</v>
      </c>
      <c r="I318">
        <v>420.9</v>
      </c>
      <c r="J318">
        <v>389.1</v>
      </c>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543.9</v>
      </c>
      <c r="D319">
        <v>490.9</v>
      </c>
      <c r="E319">
        <v>0.41099999999999998</v>
      </c>
      <c r="F319">
        <v>0.39600000000000002</v>
      </c>
      <c r="G319">
        <v>0</v>
      </c>
      <c r="H319">
        <v>0</v>
      </c>
      <c r="I319">
        <v>434.4</v>
      </c>
      <c r="J319">
        <v>382.8</v>
      </c>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906</v>
      </c>
      <c r="B320" s="154"/>
      <c r="C320">
        <v>553.20000000000005</v>
      </c>
      <c r="D320">
        <v>531.9</v>
      </c>
      <c r="E320">
        <v>0.47599999999999998</v>
      </c>
      <c r="F320">
        <v>0.44500000000000001</v>
      </c>
      <c r="G320">
        <v>9.5000000000000001E-2</v>
      </c>
      <c r="H320">
        <v>9.0999999999999998E-2</v>
      </c>
      <c r="I320">
        <v>444.2</v>
      </c>
      <c r="J320">
        <v>405.7</v>
      </c>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369.6</v>
      </c>
      <c r="D321">
        <v>341.5</v>
      </c>
      <c r="E321">
        <v>0.57699999999999996</v>
      </c>
      <c r="F321">
        <v>0.56799999999999995</v>
      </c>
      <c r="G321">
        <v>0</v>
      </c>
      <c r="H321">
        <v>0</v>
      </c>
      <c r="I321">
        <v>394.3</v>
      </c>
      <c r="J321">
        <v>357.5</v>
      </c>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901</v>
      </c>
      <c r="B322" s="154"/>
      <c r="C322">
        <v>546.9</v>
      </c>
      <c r="D322">
        <v>504.4</v>
      </c>
      <c r="E322">
        <v>0.36499999999999999</v>
      </c>
      <c r="F322">
        <v>0.35899999999999999</v>
      </c>
      <c r="G322">
        <v>0</v>
      </c>
      <c r="H322">
        <v>0</v>
      </c>
      <c r="I322">
        <v>390.8</v>
      </c>
      <c r="J322">
        <v>358.7</v>
      </c>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462.8</v>
      </c>
      <c r="D323">
        <v>430.2</v>
      </c>
      <c r="E323">
        <v>0.53700000000000003</v>
      </c>
      <c r="F323">
        <v>0.53700000000000003</v>
      </c>
      <c r="G323">
        <v>7.0000000000000007E-2</v>
      </c>
      <c r="H323">
        <v>0.04</v>
      </c>
      <c r="I323">
        <v>444.5</v>
      </c>
      <c r="J323">
        <v>414.2</v>
      </c>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445.5</v>
      </c>
      <c r="D324">
        <v>471.1</v>
      </c>
      <c r="E324">
        <v>0.20899999999999999</v>
      </c>
      <c r="F324">
        <v>0.246</v>
      </c>
      <c r="G324">
        <v>0</v>
      </c>
      <c r="H324">
        <v>0</v>
      </c>
      <c r="I324">
        <v>354.8</v>
      </c>
      <c r="J324">
        <v>385.9</v>
      </c>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441.9</v>
      </c>
      <c r="D325">
        <v>426.9</v>
      </c>
      <c r="E325">
        <v>0.53</v>
      </c>
      <c r="F325">
        <v>0.51500000000000001</v>
      </c>
      <c r="G325">
        <v>2.7E-2</v>
      </c>
      <c r="H325">
        <v>2.7E-2</v>
      </c>
      <c r="I325">
        <v>426.8</v>
      </c>
      <c r="J325">
        <v>398.7</v>
      </c>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553.70000000000005</v>
      </c>
      <c r="D326">
        <v>542.4</v>
      </c>
      <c r="E326">
        <v>0.42199999999999999</v>
      </c>
      <c r="F326">
        <v>0.4</v>
      </c>
      <c r="G326">
        <v>0.191</v>
      </c>
      <c r="H326">
        <v>0.161</v>
      </c>
      <c r="I326">
        <v>424.2</v>
      </c>
      <c r="J326">
        <v>401.7</v>
      </c>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462.2</v>
      </c>
      <c r="D327">
        <v>445.9</v>
      </c>
      <c r="E327">
        <v>0.40600000000000003</v>
      </c>
      <c r="F327">
        <v>0.39500000000000002</v>
      </c>
      <c r="G327">
        <v>0</v>
      </c>
      <c r="H327">
        <v>0</v>
      </c>
      <c r="I327">
        <v>337.9</v>
      </c>
      <c r="J327">
        <v>320.2</v>
      </c>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487.7</v>
      </c>
      <c r="D328">
        <v>470.6</v>
      </c>
      <c r="E328">
        <v>0.504</v>
      </c>
      <c r="F328">
        <v>0.47099999999999997</v>
      </c>
      <c r="G328">
        <v>0</v>
      </c>
      <c r="H328">
        <v>0</v>
      </c>
      <c r="I328">
        <v>420.9</v>
      </c>
      <c r="J328">
        <v>380.5</v>
      </c>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574.29999999999995</v>
      </c>
      <c r="D329">
        <v>534</v>
      </c>
      <c r="E329">
        <v>0.32300000000000001</v>
      </c>
      <c r="F329">
        <v>0.312</v>
      </c>
      <c r="G329">
        <v>0</v>
      </c>
      <c r="H329">
        <v>0</v>
      </c>
      <c r="I329">
        <v>398.2</v>
      </c>
      <c r="J329">
        <v>363.6</v>
      </c>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396.3</v>
      </c>
      <c r="D330">
        <v>359.7</v>
      </c>
      <c r="E330">
        <v>0.51500000000000001</v>
      </c>
      <c r="F330">
        <v>0.55800000000000005</v>
      </c>
      <c r="G330">
        <v>0</v>
      </c>
      <c r="H330">
        <v>0</v>
      </c>
      <c r="I330">
        <v>341.3</v>
      </c>
      <c r="J330">
        <v>344.3</v>
      </c>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449.8</v>
      </c>
      <c r="D331">
        <v>420.4</v>
      </c>
      <c r="E331">
        <v>0.54200000000000004</v>
      </c>
      <c r="F331">
        <v>0.52900000000000003</v>
      </c>
      <c r="G331">
        <v>5.6000000000000001E-2</v>
      </c>
      <c r="H331">
        <v>6.4000000000000001E-2</v>
      </c>
      <c r="I331">
        <v>399</v>
      </c>
      <c r="J331">
        <v>361.1</v>
      </c>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570.4</v>
      </c>
      <c r="D332">
        <v>549.4</v>
      </c>
      <c r="E332">
        <v>0.373</v>
      </c>
      <c r="F332">
        <v>0.36599999999999999</v>
      </c>
      <c r="G332">
        <v>2.7E-2</v>
      </c>
      <c r="H332">
        <v>0.03</v>
      </c>
      <c r="I332">
        <v>387.4</v>
      </c>
      <c r="J332">
        <v>366.3</v>
      </c>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448.5</v>
      </c>
      <c r="D333">
        <v>431.4</v>
      </c>
      <c r="E333">
        <v>0.36299999999999999</v>
      </c>
      <c r="F333">
        <v>0.35</v>
      </c>
      <c r="G333">
        <v>0</v>
      </c>
      <c r="H333">
        <v>0</v>
      </c>
      <c r="I333">
        <v>320</v>
      </c>
      <c r="J333">
        <v>301.8</v>
      </c>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599.6</v>
      </c>
      <c r="D334" s="122">
        <v>547.9</v>
      </c>
      <c r="E334" s="122">
        <v>0.42399999999999999</v>
      </c>
      <c r="F334" s="122">
        <v>0.42099999999999999</v>
      </c>
      <c r="G334" s="122">
        <v>0.128</v>
      </c>
      <c r="H334" s="122">
        <v>0.127</v>
      </c>
      <c r="I334" s="122">
        <v>469.5</v>
      </c>
      <c r="J334" s="122">
        <v>426.9</v>
      </c>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430.4</v>
      </c>
      <c r="D335" s="122">
        <v>428.8</v>
      </c>
      <c r="E335" s="122">
        <v>0.436</v>
      </c>
      <c r="F335" s="122">
        <v>0.41799999999999998</v>
      </c>
      <c r="G335" s="122">
        <v>0</v>
      </c>
      <c r="H335" s="122">
        <v>0</v>
      </c>
      <c r="I335" s="122">
        <v>351</v>
      </c>
      <c r="J335" s="122">
        <v>339.4</v>
      </c>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478.5</v>
      </c>
      <c r="D336" s="122">
        <v>448.5</v>
      </c>
      <c r="E336" s="122">
        <v>0.436</v>
      </c>
      <c r="F336" s="122">
        <v>0.432</v>
      </c>
      <c r="G336" s="122">
        <v>0</v>
      </c>
      <c r="H336" s="122">
        <v>0</v>
      </c>
      <c r="I336" s="122">
        <v>384.6</v>
      </c>
      <c r="J336" s="122">
        <v>358</v>
      </c>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441.3</v>
      </c>
      <c r="D337" s="122">
        <v>463.6</v>
      </c>
      <c r="E337" s="122">
        <v>0.45700000000000002</v>
      </c>
      <c r="F337" s="122">
        <v>0.40300000000000002</v>
      </c>
      <c r="G337" s="122">
        <v>0</v>
      </c>
      <c r="H337" s="122">
        <v>0</v>
      </c>
      <c r="I337" s="122">
        <v>389.9</v>
      </c>
      <c r="J337" s="122">
        <v>369</v>
      </c>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535</v>
      </c>
      <c r="D338" s="122">
        <v>483.9</v>
      </c>
      <c r="E338" s="122">
        <v>0.33700000000000002</v>
      </c>
      <c r="F338" s="122">
        <v>0.33100000000000002</v>
      </c>
      <c r="G338" s="122">
        <v>0</v>
      </c>
      <c r="H338" s="122">
        <v>0</v>
      </c>
      <c r="I338" s="122">
        <v>379.9</v>
      </c>
      <c r="J338" s="122">
        <v>341.6</v>
      </c>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512.5</v>
      </c>
      <c r="D339" s="122">
        <v>499.4</v>
      </c>
      <c r="E339" s="122">
        <v>0.432</v>
      </c>
      <c r="F339" s="122">
        <v>0.41599999999999998</v>
      </c>
      <c r="G339" s="122">
        <v>0.05</v>
      </c>
      <c r="H339" s="122">
        <v>2.9000000000000001E-2</v>
      </c>
      <c r="I339" s="122">
        <v>411</v>
      </c>
      <c r="J339" s="122">
        <v>384.8</v>
      </c>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43" activePane="bottomRight" state="frozen"/>
      <selection activeCell="N70" sqref="N70"/>
      <selection pane="topRight" activeCell="N70" sqref="N70"/>
      <selection pane="bottomLeft" activeCell="N70" sqref="N70"/>
      <selection pane="bottomRight" activeCell="H245" sqref="H245:I245"/>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894</v>
      </c>
      <c r="I2" s="27" t="s">
        <v>385</v>
      </c>
      <c r="J2" t="s">
        <v>332</v>
      </c>
    </row>
    <row r="3" spans="1:13" ht="14.4">
      <c r="A3" s="22" t="str">
        <f>F3&amp;(COUNTIFS(F$2:F3,F3,K$2:K3,"Sparse"))</f>
        <v>SD1</v>
      </c>
      <c r="B3" s="22" t="str">
        <f>J3&amp;(COUNTIF(J$2:J3,J3))</f>
        <v>Cumbria1</v>
      </c>
      <c r="C3" t="s">
        <v>6</v>
      </c>
      <c r="D3" t="s">
        <v>6</v>
      </c>
      <c r="E3" s="25" t="s">
        <v>377</v>
      </c>
      <c r="F3" s="25" t="s">
        <v>382</v>
      </c>
      <c r="G3" s="25" t="s">
        <v>5</v>
      </c>
      <c r="H3" s="26" t="s">
        <v>895</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896</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894</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894</v>
      </c>
      <c r="I6" s="27" t="s">
        <v>385</v>
      </c>
      <c r="J6" t="s">
        <v>324</v>
      </c>
    </row>
    <row r="7" spans="1:13" ht="14.4">
      <c r="A7" s="22" t="str">
        <f>F7&amp;(COUNTIFS(F$2:F7,F7,K$2:K7,"Sparse"))</f>
        <v>SD1</v>
      </c>
      <c r="B7" s="22" t="str">
        <f>J7&amp;(COUNTIF(J$2:J7,J7))</f>
        <v>Kent1</v>
      </c>
      <c r="C7" t="s">
        <v>10</v>
      </c>
      <c r="D7" t="s">
        <v>10</v>
      </c>
      <c r="E7" s="25" t="s">
        <v>0</v>
      </c>
      <c r="F7" s="25" t="s">
        <v>382</v>
      </c>
      <c r="G7" s="25" t="s">
        <v>5</v>
      </c>
      <c r="H7" s="26" t="s">
        <v>897</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895</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899</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899</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896</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897</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894</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897</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898</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897</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897</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899</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899</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894</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894</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894</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897</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899</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897</v>
      </c>
      <c r="I25" s="27" t="s">
        <v>372</v>
      </c>
      <c r="J25" t="s">
        <v>319</v>
      </c>
      <c r="K25" t="s">
        <v>336</v>
      </c>
    </row>
    <row r="26" spans="1:11" ht="14.4">
      <c r="A26" s="22" t="str">
        <f>F26&amp;(COUNTIFS(F$2:F26,F26,K$2:K26,"Sparse"))</f>
        <v>UA0</v>
      </c>
      <c r="B26" s="22" t="str">
        <f>J26&amp;(COUNTIF(J$2:J26,J26))</f>
        <v>Unitary5</v>
      </c>
      <c r="C26" t="s">
        <v>902</v>
      </c>
      <c r="D26" t="s">
        <v>902</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894</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899</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898</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895</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899</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897</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894</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894</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897</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899</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894</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899</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896</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894</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899</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899</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894</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899</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897</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894</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897</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894</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898</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894</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894</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894</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897</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897</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897</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894</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898</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897</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899</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897</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895</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895</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895</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894</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895</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894</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899</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897</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894</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899</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894</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895</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896</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898</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897</v>
      </c>
      <c r="I80" s="27" t="s">
        <v>372</v>
      </c>
      <c r="J80" t="s">
        <v>316</v>
      </c>
    </row>
    <row r="81" spans="1:11" ht="14.4">
      <c r="A81" s="22" t="str">
        <f>F81&amp;(COUNTIFS(F$2:F81,F81,K$2:K81,"Sparse"))</f>
        <v>UA3</v>
      </c>
      <c r="B81" s="22" t="str">
        <f>J81&amp;(COUNTIF(J$2:J81,J81))</f>
        <v>Unitary16</v>
      </c>
      <c r="C81" t="s">
        <v>267</v>
      </c>
      <c r="D81" t="s">
        <v>267</v>
      </c>
      <c r="E81" s="25" t="s">
        <v>391</v>
      </c>
      <c r="F81" s="25" t="s">
        <v>388</v>
      </c>
      <c r="G81" s="25" t="s">
        <v>397</v>
      </c>
      <c r="H81" s="26" t="s">
        <v>898</v>
      </c>
      <c r="I81" s="27" t="s">
        <v>383</v>
      </c>
      <c r="J81" s="3" t="s">
        <v>397</v>
      </c>
      <c r="K81" t="s">
        <v>336</v>
      </c>
    </row>
    <row r="82" spans="1:11" ht="14.4">
      <c r="A82" s="22" t="str">
        <f>F82&amp;(COUNTIFS(F$2:F82,F82,K$2:K82,"Sparse"))</f>
        <v>MD0</v>
      </c>
      <c r="B82" s="22" t="str">
        <f>J82&amp;(COUNTIF(J$2:J82,J82))</f>
        <v>Dudley1</v>
      </c>
      <c r="C82" t="s">
        <v>231</v>
      </c>
      <c r="D82" t="s">
        <v>231</v>
      </c>
      <c r="E82" s="25" t="s">
        <v>369</v>
      </c>
      <c r="F82" s="25" t="s">
        <v>387</v>
      </c>
      <c r="G82" s="25" t="s">
        <v>398</v>
      </c>
      <c r="H82" s="26" t="s">
        <v>899</v>
      </c>
      <c r="I82" s="27" t="s">
        <v>385</v>
      </c>
      <c r="J82" t="str">
        <f>C82</f>
        <v>Dudley</v>
      </c>
    </row>
    <row r="83" spans="1:11" ht="14.4">
      <c r="A83" s="22" t="str">
        <f>F83&amp;(COUNTIFS(F$2:F83,F83,K$2:K83,"Sparse"))</f>
        <v>L0</v>
      </c>
      <c r="B83" s="22" t="str">
        <f>J83&amp;(COUNTIF(J$2:J83,J83))</f>
        <v>London9</v>
      </c>
      <c r="C83" t="s">
        <v>203</v>
      </c>
      <c r="D83" t="s">
        <v>203</v>
      </c>
      <c r="E83" s="25" t="s">
        <v>384</v>
      </c>
      <c r="F83" s="25" t="s">
        <v>360</v>
      </c>
      <c r="G83" s="25" t="s">
        <v>384</v>
      </c>
      <c r="H83" s="26" t="s">
        <v>899</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895</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898</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895</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897</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895</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898</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897</v>
      </c>
      <c r="I90" s="27" t="s">
        <v>372</v>
      </c>
      <c r="J90" t="s">
        <v>328</v>
      </c>
    </row>
    <row r="91" spans="1:11" ht="14.4">
      <c r="A91" s="22" t="str">
        <f>F91&amp;(COUNTIFS(F$2:F91,F91,K$2:K91,"Sparse"))</f>
        <v>SC2</v>
      </c>
      <c r="B91" s="22" t="str">
        <f>J91&amp;(COUNTIF(J$2:J91,J91))</f>
        <v>East Sussex1</v>
      </c>
      <c r="C91" t="s">
        <v>311</v>
      </c>
      <c r="D91" t="s">
        <v>311</v>
      </c>
      <c r="E91" s="25" t="s">
        <v>0</v>
      </c>
      <c r="F91" s="25" t="s">
        <v>390</v>
      </c>
      <c r="G91" s="25" t="s">
        <v>302</v>
      </c>
      <c r="H91" s="27" t="s">
        <v>372</v>
      </c>
      <c r="I91" s="27" t="s">
        <v>372</v>
      </c>
      <c r="J91" t="str">
        <f>C91</f>
        <v>East Sussex</v>
      </c>
    </row>
    <row r="92" spans="1:11" ht="14.4">
      <c r="A92" s="22" t="str">
        <f>F92&amp;(COUNTIFS(F$2:F92,F92,K$2:K92,"Sparse"))</f>
        <v>SD12</v>
      </c>
      <c r="B92" s="22" t="str">
        <f>J92&amp;(COUNTIF(J$2:J92,J92))</f>
        <v>East Sussex2</v>
      </c>
      <c r="C92" t="s">
        <v>60</v>
      </c>
      <c r="D92" t="s">
        <v>60</v>
      </c>
      <c r="E92" s="25" t="s">
        <v>0</v>
      </c>
      <c r="F92" s="25" t="s">
        <v>382</v>
      </c>
      <c r="G92" s="25" t="s">
        <v>5</v>
      </c>
      <c r="H92" s="26" t="s">
        <v>894</v>
      </c>
      <c r="I92" s="27" t="s">
        <v>385</v>
      </c>
      <c r="J92" t="s">
        <v>311</v>
      </c>
    </row>
    <row r="93" spans="1:11" ht="14.4">
      <c r="A93" s="22" t="str">
        <f>F93&amp;(COUNTIFS(F$2:F93,F93,K$2:K93,"Sparse"))</f>
        <v>SD12</v>
      </c>
      <c r="B93" s="22" t="str">
        <f>J93&amp;(COUNTIF(J$2:J93,J93))</f>
        <v>Hampshire3</v>
      </c>
      <c r="C93" t="s">
        <v>61</v>
      </c>
      <c r="D93" t="s">
        <v>61</v>
      </c>
      <c r="E93" s="25" t="s">
        <v>0</v>
      </c>
      <c r="F93" s="25" t="s">
        <v>382</v>
      </c>
      <c r="G93" s="25" t="s">
        <v>5</v>
      </c>
      <c r="H93" s="26" t="s">
        <v>894</v>
      </c>
      <c r="I93" s="27" t="s">
        <v>385</v>
      </c>
      <c r="J93" t="s">
        <v>314</v>
      </c>
    </row>
    <row r="94" spans="1:11" ht="14.4">
      <c r="A94" s="22" t="str">
        <f>F94&amp;(COUNTIFS(F$2:F94,F94,K$2:K94,"Sparse"))</f>
        <v>SD13</v>
      </c>
      <c r="B94" s="22" t="str">
        <f>J94&amp;(COUNTIF(J$2:J94,J94))</f>
        <v>Cumbria6</v>
      </c>
      <c r="C94" t="s">
        <v>62</v>
      </c>
      <c r="D94" t="s">
        <v>62</v>
      </c>
      <c r="E94" s="25" t="s">
        <v>377</v>
      </c>
      <c r="F94" s="25" t="s">
        <v>382</v>
      </c>
      <c r="G94" s="25" t="s">
        <v>5</v>
      </c>
      <c r="H94" s="26" t="s">
        <v>895</v>
      </c>
      <c r="I94" s="27" t="s">
        <v>383</v>
      </c>
      <c r="J94" t="s">
        <v>307</v>
      </c>
      <c r="K94" t="s">
        <v>336</v>
      </c>
    </row>
    <row r="95" spans="1:11" ht="14.4">
      <c r="A95" s="22" t="str">
        <f>F95&amp;(COUNTIFS(F$2:F95,F95,K$2:K95,"Sparse"))</f>
        <v>SD13</v>
      </c>
      <c r="B95" s="22" t="str">
        <f>J95&amp;(COUNTIF(J$2:J95,J95))</f>
        <v>Surrey1</v>
      </c>
      <c r="C95" t="s">
        <v>63</v>
      </c>
      <c r="D95" t="s">
        <v>63</v>
      </c>
      <c r="E95" s="25" t="s">
        <v>0</v>
      </c>
      <c r="F95" s="25" t="s">
        <v>382</v>
      </c>
      <c r="G95" s="25" t="s">
        <v>5</v>
      </c>
      <c r="H95" s="26" t="s">
        <v>899</v>
      </c>
      <c r="I95" s="27" t="s">
        <v>385</v>
      </c>
      <c r="J95" t="s">
        <v>330</v>
      </c>
    </row>
    <row r="96" spans="1:11" ht="14.4">
      <c r="A96" s="22" t="str">
        <f>F96&amp;(COUNTIFS(F$2:F96,F96,K$2:K96,"Sparse"))</f>
        <v>L0</v>
      </c>
      <c r="B96" s="22" t="str">
        <f>J96&amp;(COUNTIF(J$2:J96,J96))</f>
        <v>London10</v>
      </c>
      <c r="C96" t="s">
        <v>204</v>
      </c>
      <c r="D96" t="s">
        <v>204</v>
      </c>
      <c r="E96" s="25" t="s">
        <v>384</v>
      </c>
      <c r="F96" s="25" t="s">
        <v>360</v>
      </c>
      <c r="G96" s="25" t="s">
        <v>384</v>
      </c>
      <c r="H96" s="26" t="s">
        <v>899</v>
      </c>
      <c r="I96" s="27" t="s">
        <v>385</v>
      </c>
      <c r="J96" t="str">
        <f>G96</f>
        <v>London</v>
      </c>
    </row>
    <row r="97" spans="1:11" ht="14.4">
      <c r="A97" s="22" t="str">
        <f>F97&amp;(COUNTIFS(F$2:F97,F97,K$2:K97,"Sparse"))</f>
        <v>SD13</v>
      </c>
      <c r="B97" s="22" t="str">
        <f>J97&amp;(COUNTIF(J$2:J97,J97))</f>
        <v>Essex7</v>
      </c>
      <c r="C97" t="s">
        <v>64</v>
      </c>
      <c r="D97" t="s">
        <v>64</v>
      </c>
      <c r="E97" s="25" t="s">
        <v>370</v>
      </c>
      <c r="F97" s="25" t="s">
        <v>382</v>
      </c>
      <c r="G97" s="25" t="s">
        <v>5</v>
      </c>
      <c r="H97" s="26" t="s">
        <v>897</v>
      </c>
      <c r="I97" s="27" t="s">
        <v>372</v>
      </c>
      <c r="J97" t="s">
        <v>312</v>
      </c>
    </row>
    <row r="98" spans="1:11" ht="14.4">
      <c r="A98" s="22" t="str">
        <f>F98&amp;(COUNTIFS(F$2:F98,F98,K$2:K98,"Sparse"))</f>
        <v>SD13</v>
      </c>
      <c r="B98" s="22" t="str">
        <f>J98&amp;(COUNTIF(J$2:J98,J98))</f>
        <v>Surrey2</v>
      </c>
      <c r="C98" t="s">
        <v>345</v>
      </c>
      <c r="D98" t="s">
        <v>345</v>
      </c>
      <c r="E98" s="25" t="s">
        <v>0</v>
      </c>
      <c r="F98" s="25" t="s">
        <v>382</v>
      </c>
      <c r="G98" s="25" t="s">
        <v>5</v>
      </c>
      <c r="H98" s="26" t="s">
        <v>899</v>
      </c>
      <c r="I98" s="27" t="s">
        <v>385</v>
      </c>
      <c r="J98" t="s">
        <v>330</v>
      </c>
    </row>
    <row r="99" spans="1:11" ht="14.4">
      <c r="A99" s="22" t="str">
        <f>F99&amp;(COUNTIFS(F$2:F99,F99,K$2:K99,"Sparse"))</f>
        <v>SD13</v>
      </c>
      <c r="B99" s="22" t="str">
        <f>J99&amp;(COUNTIF(J$2:J99,J99))</f>
        <v>Derbyshire6</v>
      </c>
      <c r="C99" t="s">
        <v>65</v>
      </c>
      <c r="D99" t="s">
        <v>65</v>
      </c>
      <c r="E99" s="25" t="s">
        <v>368</v>
      </c>
      <c r="F99" s="25" t="s">
        <v>382</v>
      </c>
      <c r="G99" s="25" t="s">
        <v>5</v>
      </c>
      <c r="H99" s="26" t="s">
        <v>896</v>
      </c>
      <c r="I99" s="27" t="s">
        <v>385</v>
      </c>
      <c r="J99" t="s">
        <v>308</v>
      </c>
    </row>
    <row r="100" spans="1:11" ht="14.4">
      <c r="A100" s="22" t="str">
        <f>F100&amp;(COUNTIFS(F$2:F100,F100,K$2:K100,"Sparse"))</f>
        <v>SC2</v>
      </c>
      <c r="B100" s="22" t="str">
        <f>J100&amp;(COUNTIF(J$2:J100,J100))</f>
        <v>Essex8</v>
      </c>
      <c r="C100" s="27" t="s">
        <v>312</v>
      </c>
      <c r="D100" s="27" t="s">
        <v>312</v>
      </c>
      <c r="E100" s="25" t="s">
        <v>370</v>
      </c>
      <c r="F100" s="25" t="s">
        <v>390</v>
      </c>
      <c r="G100" s="25" t="s">
        <v>302</v>
      </c>
      <c r="H100" s="27" t="s">
        <v>372</v>
      </c>
      <c r="I100" s="27" t="s">
        <v>372</v>
      </c>
      <c r="J100" t="str">
        <f>C100</f>
        <v>Essex</v>
      </c>
    </row>
    <row r="101" spans="1:11" ht="14.4">
      <c r="A101" s="22" t="str">
        <f>F101&amp;(COUNTIFS(F$2:F101,F101,K$2:K101,"Sparse"))</f>
        <v>SD13</v>
      </c>
      <c r="B101" s="22" t="str">
        <f>J101&amp;(COUNTIF(J$2:J101,J101))</f>
        <v>Devon3</v>
      </c>
      <c r="C101" t="s">
        <v>66</v>
      </c>
      <c r="D101" t="s">
        <v>66</v>
      </c>
      <c r="E101" s="25" t="s">
        <v>1</v>
      </c>
      <c r="F101" s="25" t="s">
        <v>382</v>
      </c>
      <c r="G101" s="25" t="s">
        <v>5</v>
      </c>
      <c r="H101" s="26" t="s">
        <v>894</v>
      </c>
      <c r="I101" s="27" t="s">
        <v>385</v>
      </c>
      <c r="J101" t="s">
        <v>309</v>
      </c>
    </row>
    <row r="102" spans="1:11" ht="14.4">
      <c r="A102" s="22" t="str">
        <f>F102&amp;(COUNTIFS(F$2:F102,F102,K$2:K102,"Sparse"))</f>
        <v>SD13</v>
      </c>
      <c r="B102" s="22" t="str">
        <f>J102&amp;(COUNTIF(J$2:J102,J102))</f>
        <v>Hampshire4</v>
      </c>
      <c r="C102" t="s">
        <v>67</v>
      </c>
      <c r="D102" t="s">
        <v>67</v>
      </c>
      <c r="E102" s="25" t="s">
        <v>0</v>
      </c>
      <c r="F102" s="25" t="s">
        <v>382</v>
      </c>
      <c r="G102" s="25" t="s">
        <v>5</v>
      </c>
      <c r="H102" s="26" t="s">
        <v>894</v>
      </c>
      <c r="I102" s="27" t="s">
        <v>385</v>
      </c>
      <c r="J102" t="s">
        <v>314</v>
      </c>
    </row>
    <row r="103" spans="1:11" ht="14.4">
      <c r="A103" s="22" t="str">
        <f>F103&amp;(COUNTIFS(F$2:F103,F103,K$2:K103,"Sparse"))</f>
        <v>SD13</v>
      </c>
      <c r="B103" s="22" t="str">
        <f>J103&amp;(COUNTIF(J$2:J103,J103))</f>
        <v>Cambridgeshire4</v>
      </c>
      <c r="C103" t="s">
        <v>68</v>
      </c>
      <c r="D103" t="s">
        <v>68</v>
      </c>
      <c r="E103" s="25" t="s">
        <v>370</v>
      </c>
      <c r="F103" s="25" t="s">
        <v>382</v>
      </c>
      <c r="G103" s="25" t="s">
        <v>5</v>
      </c>
      <c r="H103" s="26" t="s">
        <v>898</v>
      </c>
      <c r="I103" s="27" t="s">
        <v>383</v>
      </c>
      <c r="J103" t="s">
        <v>303</v>
      </c>
    </row>
    <row r="104" spans="1:11" ht="14.4">
      <c r="A104" s="22" t="str">
        <f>F104&amp;(COUNTIFS(F$2:F104,F104,K$2:K104,"Sparse"))</f>
        <v>SD14</v>
      </c>
      <c r="B104" s="22" t="str">
        <f>J104&amp;(COUNTIF(J$2:J104,J104))</f>
        <v>Gloucestershire3</v>
      </c>
      <c r="C104" t="s">
        <v>70</v>
      </c>
      <c r="D104" t="s">
        <v>70</v>
      </c>
      <c r="E104" s="25" t="s">
        <v>1</v>
      </c>
      <c r="F104" s="25" t="s">
        <v>382</v>
      </c>
      <c r="G104" s="25" t="s">
        <v>5</v>
      </c>
      <c r="H104" s="26" t="s">
        <v>895</v>
      </c>
      <c r="I104" s="27" t="s">
        <v>383</v>
      </c>
      <c r="J104" t="s">
        <v>313</v>
      </c>
      <c r="K104" t="s">
        <v>336</v>
      </c>
    </row>
    <row r="105" spans="1:11" ht="14.4">
      <c r="A105" s="22" t="str">
        <f>F105&amp;(COUNTIFS(F$2:F105,F105,K$2:K105,"Sparse"))</f>
        <v>SD14</v>
      </c>
      <c r="B105" s="22" t="str">
        <f>J105&amp;(COUNTIF(J$2:J105,J105))</f>
        <v>Lancashire3</v>
      </c>
      <c r="C105" t="s">
        <v>71</v>
      </c>
      <c r="D105" t="s">
        <v>71</v>
      </c>
      <c r="E105" s="25" t="s">
        <v>377</v>
      </c>
      <c r="F105" s="25" t="s">
        <v>382</v>
      </c>
      <c r="G105" s="25" t="s">
        <v>5</v>
      </c>
      <c r="H105" s="26" t="s">
        <v>894</v>
      </c>
      <c r="I105" s="27" t="s">
        <v>385</v>
      </c>
      <c r="J105" t="s">
        <v>317</v>
      </c>
    </row>
    <row r="106" spans="1:11" ht="14.4">
      <c r="A106" s="22" t="str">
        <f>F106&amp;(COUNTIFS(F$2:F106,F106,K$2:K106,"Sparse"))</f>
        <v>MD0</v>
      </c>
      <c r="B106" s="22" t="str">
        <f>J106&amp;(COUNTIF(J$2:J106,J106))</f>
        <v>Gateshead1</v>
      </c>
      <c r="C106" t="s">
        <v>232</v>
      </c>
      <c r="D106" t="s">
        <v>232</v>
      </c>
      <c r="E106" s="25" t="s">
        <v>391</v>
      </c>
      <c r="F106" s="25" t="s">
        <v>387</v>
      </c>
      <c r="G106" s="25" t="s">
        <v>398</v>
      </c>
      <c r="H106" s="26" t="s">
        <v>899</v>
      </c>
      <c r="I106" s="27" t="s">
        <v>385</v>
      </c>
      <c r="J106" t="str">
        <f>C106</f>
        <v>Gateshead</v>
      </c>
    </row>
    <row r="107" spans="1:11" ht="14.4">
      <c r="A107" s="22" t="str">
        <f>F107&amp;(COUNTIFS(F$2:F107,F107,K$2:K107,"Sparse"))</f>
        <v>SD14</v>
      </c>
      <c r="B107" s="22" t="str">
        <f>J107&amp;(COUNTIF(J$2:J107,J107))</f>
        <v>Nottinghamshire4</v>
      </c>
      <c r="C107" t="s">
        <v>72</v>
      </c>
      <c r="D107" t="s">
        <v>72</v>
      </c>
      <c r="E107" s="25" t="s">
        <v>368</v>
      </c>
      <c r="F107" s="25" t="s">
        <v>382</v>
      </c>
      <c r="G107" s="25" t="s">
        <v>5</v>
      </c>
      <c r="H107" s="26" t="s">
        <v>896</v>
      </c>
      <c r="I107" s="27" t="s">
        <v>385</v>
      </c>
      <c r="J107" t="s">
        <v>324</v>
      </c>
    </row>
    <row r="108" spans="1:11" ht="14.4">
      <c r="A108" s="22" t="str">
        <f>F108&amp;(COUNTIFS(F$2:F108,F108,K$2:K108,"Sparse"))</f>
        <v>SD14</v>
      </c>
      <c r="B108" s="22" t="str">
        <f>J108&amp;(COUNTIF(J$2:J108,J108))</f>
        <v>Gloucestershire4</v>
      </c>
      <c r="C108" t="s">
        <v>73</v>
      </c>
      <c r="D108" t="s">
        <v>73</v>
      </c>
      <c r="E108" s="25" t="s">
        <v>1</v>
      </c>
      <c r="F108" s="25" t="s">
        <v>382</v>
      </c>
      <c r="G108" s="25" t="s">
        <v>5</v>
      </c>
      <c r="H108" s="26" t="s">
        <v>894</v>
      </c>
      <c r="I108" s="27" t="s">
        <v>385</v>
      </c>
      <c r="J108" t="s">
        <v>313</v>
      </c>
    </row>
    <row r="109" spans="1:11" ht="14.4">
      <c r="A109" s="22" t="str">
        <f>F109&amp;(COUNTIFS(F$2:F109,F109,K$2:K109,"Sparse"))</f>
        <v>SC2</v>
      </c>
      <c r="B109" s="22" t="str">
        <f>J109&amp;(COUNTIF(J$2:J109,J109))</f>
        <v>Gloucestershire5</v>
      </c>
      <c r="C109" s="27" t="s">
        <v>313</v>
      </c>
      <c r="D109" s="27" t="s">
        <v>313</v>
      </c>
      <c r="E109" s="25" t="s">
        <v>1</v>
      </c>
      <c r="F109" s="25" t="s">
        <v>390</v>
      </c>
      <c r="G109" s="25" t="s">
        <v>302</v>
      </c>
      <c r="H109" s="27" t="s">
        <v>372</v>
      </c>
      <c r="I109" s="27" t="s">
        <v>372</v>
      </c>
      <c r="J109" t="str">
        <f>C109</f>
        <v>Gloucestershire</v>
      </c>
    </row>
    <row r="110" spans="1:11" ht="14.4">
      <c r="A110" s="22" t="str">
        <f>F110&amp;(COUNTIFS(F$2:F110,F110,K$2:K110,"Sparse"))</f>
        <v>SD14</v>
      </c>
      <c r="B110" s="22" t="str">
        <f>J110&amp;(COUNTIF(J$2:J110,J110))</f>
        <v>Hampshire5</v>
      </c>
      <c r="C110" t="s">
        <v>74</v>
      </c>
      <c r="D110" t="s">
        <v>74</v>
      </c>
      <c r="E110" s="25" t="s">
        <v>0</v>
      </c>
      <c r="F110" s="25" t="s">
        <v>382</v>
      </c>
      <c r="G110" s="25" t="s">
        <v>5</v>
      </c>
      <c r="H110" s="26" t="s">
        <v>894</v>
      </c>
      <c r="I110" s="27" t="s">
        <v>385</v>
      </c>
      <c r="J110" t="s">
        <v>314</v>
      </c>
    </row>
    <row r="111" spans="1:11" ht="14.4">
      <c r="A111" s="22" t="str">
        <f>F111&amp;(COUNTIFS(F$2:F111,F111,K$2:K111,"Sparse"))</f>
        <v>SD14</v>
      </c>
      <c r="B111" s="22" t="str">
        <f>J111&amp;(COUNTIF(J$2:J111,J111))</f>
        <v>Kent5</v>
      </c>
      <c r="C111" t="s">
        <v>75</v>
      </c>
      <c r="D111" t="s">
        <v>75</v>
      </c>
      <c r="E111" s="25" t="s">
        <v>0</v>
      </c>
      <c r="F111" s="25" t="s">
        <v>382</v>
      </c>
      <c r="G111" s="25" t="s">
        <v>5</v>
      </c>
      <c r="H111" s="26" t="s">
        <v>899</v>
      </c>
      <c r="I111" s="27" t="s">
        <v>385</v>
      </c>
      <c r="J111" t="s">
        <v>316</v>
      </c>
    </row>
    <row r="112" spans="1:11" ht="14.4">
      <c r="A112" s="22" t="str">
        <f>F112&amp;(COUNTIFS(F$2:F112,F112,K$2:K112,"Sparse"))</f>
        <v>SD14</v>
      </c>
      <c r="B112" s="22" t="str">
        <f>J112&amp;(COUNTIF(J$2:J112,J112))</f>
        <v>Norfolk3</v>
      </c>
      <c r="C112" t="s">
        <v>76</v>
      </c>
      <c r="D112" t="s">
        <v>76</v>
      </c>
      <c r="E112" s="25" t="s">
        <v>370</v>
      </c>
      <c r="F112" s="25" t="s">
        <v>382</v>
      </c>
      <c r="G112" s="25" t="s">
        <v>5</v>
      </c>
      <c r="H112" s="26" t="s">
        <v>897</v>
      </c>
      <c r="I112" s="27" t="s">
        <v>372</v>
      </c>
      <c r="J112" t="s">
        <v>320</v>
      </c>
    </row>
    <row r="113" spans="1:11" ht="14.4">
      <c r="A113" s="22" t="str">
        <f>F113&amp;(COUNTIFS(F$2:F113,F113,K$2:K113,"Sparse"))</f>
        <v>L0</v>
      </c>
      <c r="B113" s="22" t="str">
        <f>J113&amp;(COUNTIF(J$2:J113,J113))</f>
        <v>London11</v>
      </c>
      <c r="C113" t="s">
        <v>205</v>
      </c>
      <c r="D113" t="s">
        <v>205</v>
      </c>
      <c r="E113" s="25" t="s">
        <v>384</v>
      </c>
      <c r="F113" s="25" t="s">
        <v>360</v>
      </c>
      <c r="G113" s="25" t="s">
        <v>384</v>
      </c>
      <c r="H113" s="26" t="s">
        <v>899</v>
      </c>
      <c r="I113" s="27" t="s">
        <v>385</v>
      </c>
      <c r="J113" t="str">
        <f>G113</f>
        <v>London</v>
      </c>
    </row>
    <row r="114" spans="1:11" ht="14.4">
      <c r="A114" s="22" t="str">
        <f>F114&amp;(COUNTIFS(F$2:F114,F114,K$2:K114,"Sparse"))</f>
        <v>SD14</v>
      </c>
      <c r="B114" s="22" t="str">
        <f>J114&amp;(COUNTIF(J$2:J114,J114))</f>
        <v>Surrey3</v>
      </c>
      <c r="C114" t="s">
        <v>77</v>
      </c>
      <c r="D114" t="s">
        <v>77</v>
      </c>
      <c r="E114" s="25" t="s">
        <v>0</v>
      </c>
      <c r="F114" s="25" t="s">
        <v>382</v>
      </c>
      <c r="G114" s="25" t="s">
        <v>5</v>
      </c>
      <c r="H114" s="26" t="s">
        <v>894</v>
      </c>
      <c r="I114" s="27" t="s">
        <v>385</v>
      </c>
      <c r="J114" t="s">
        <v>330</v>
      </c>
    </row>
    <row r="115" spans="1:11" ht="14.4">
      <c r="A115" s="22" t="str">
        <f>F115&amp;(COUNTIFS(F$2:F115,F115,K$2:K115,"Sparse"))</f>
        <v>L0</v>
      </c>
      <c r="B115" s="22" t="str">
        <f>J115&amp;(COUNTIF(J$2:J115,J115))</f>
        <v>London12</v>
      </c>
      <c r="C115" t="s">
        <v>206</v>
      </c>
      <c r="D115" t="s">
        <v>206</v>
      </c>
      <c r="E115" s="25" t="s">
        <v>384</v>
      </c>
      <c r="F115" s="25" t="s">
        <v>360</v>
      </c>
      <c r="G115" s="25" t="s">
        <v>384</v>
      </c>
      <c r="H115" s="26" t="s">
        <v>899</v>
      </c>
      <c r="I115" s="27" t="s">
        <v>385</v>
      </c>
      <c r="J115" t="str">
        <f>G115</f>
        <v>London</v>
      </c>
    </row>
    <row r="116" spans="1:11" ht="14.4">
      <c r="A116" s="22" t="str">
        <f>F116&amp;(COUNTIFS(F$2:F116,F116,K$2:K116,"Sparse"))</f>
        <v>UA4</v>
      </c>
      <c r="B116" s="22" t="str">
        <f>J116&amp;(COUNTIF(J$2:J116,J116))</f>
        <v>Unitary18</v>
      </c>
      <c r="C116" t="s">
        <v>269</v>
      </c>
      <c r="D116" t="s">
        <v>269</v>
      </c>
      <c r="E116" s="25" t="s">
        <v>377</v>
      </c>
      <c r="F116" s="25" t="s">
        <v>388</v>
      </c>
      <c r="G116" s="25" t="s">
        <v>397</v>
      </c>
      <c r="H116" s="26" t="s">
        <v>894</v>
      </c>
      <c r="I116" s="27" t="s">
        <v>385</v>
      </c>
      <c r="J116" s="3" t="s">
        <v>397</v>
      </c>
    </row>
    <row r="117" spans="1:11" ht="14.4">
      <c r="A117" s="22" t="str">
        <f>F117&amp;(COUNTIFS(F$2:F117,F117,K$2:K117,"Sparse"))</f>
        <v>SD15</v>
      </c>
      <c r="B117" s="22" t="str">
        <f>J117&amp;(COUNTIF(J$2:J117,J117))</f>
        <v>North Yorkshire2</v>
      </c>
      <c r="C117" t="s">
        <v>78</v>
      </c>
      <c r="D117" t="s">
        <v>78</v>
      </c>
      <c r="E117" s="25" t="s">
        <v>386</v>
      </c>
      <c r="F117" s="25" t="s">
        <v>382</v>
      </c>
      <c r="G117" s="25" t="s">
        <v>5</v>
      </c>
      <c r="H117" s="26" t="s">
        <v>895</v>
      </c>
      <c r="I117" s="27" t="s">
        <v>383</v>
      </c>
      <c r="J117" t="s">
        <v>321</v>
      </c>
      <c r="K117" t="s">
        <v>336</v>
      </c>
    </row>
    <row r="118" spans="1:11" ht="14.4">
      <c r="A118" s="22" t="str">
        <f>F118&amp;(COUNTIFS(F$2:F118,F118,K$2:K118,"Sparse"))</f>
        <v>L0</v>
      </c>
      <c r="B118" s="22" t="str">
        <f>J118&amp;(COUNTIF(J$2:J118,J118))</f>
        <v>London13</v>
      </c>
      <c r="C118" t="s">
        <v>337</v>
      </c>
      <c r="D118" t="s">
        <v>337</v>
      </c>
      <c r="E118" s="25" t="s">
        <v>384</v>
      </c>
      <c r="F118" s="25" t="s">
        <v>360</v>
      </c>
      <c r="G118" s="25" t="s">
        <v>384</v>
      </c>
      <c r="H118" s="26" t="s">
        <v>899</v>
      </c>
      <c r="I118" s="27" t="s">
        <v>385</v>
      </c>
      <c r="J118" t="str">
        <f>G118</f>
        <v>London</v>
      </c>
    </row>
    <row r="119" spans="1:11" ht="14.4">
      <c r="A119" s="22" t="str">
        <f>F119&amp;(COUNTIFS(F$2:F119,F119,K$2:K119,"Sparse"))</f>
        <v>SC3</v>
      </c>
      <c r="B119" s="22" t="str">
        <f>J119&amp;(COUNTIF(J$2:J119,J119))</f>
        <v>Hampshire6</v>
      </c>
      <c r="C119" s="27" t="s">
        <v>314</v>
      </c>
      <c r="D119" s="27" t="s">
        <v>314</v>
      </c>
      <c r="E119" s="25" t="s">
        <v>0</v>
      </c>
      <c r="F119" s="25" t="s">
        <v>390</v>
      </c>
      <c r="G119" s="25" t="s">
        <v>302</v>
      </c>
      <c r="H119" s="27" t="s">
        <v>372</v>
      </c>
      <c r="I119" s="27" t="s">
        <v>372</v>
      </c>
      <c r="J119" t="str">
        <f>C119</f>
        <v>Hampshire</v>
      </c>
      <c r="K119" t="s">
        <v>336</v>
      </c>
    </row>
    <row r="120" spans="1:11" ht="14.4">
      <c r="A120" s="22" t="str">
        <f>F120&amp;(COUNTIFS(F$2:F120,F120,K$2:K120,"Sparse"))</f>
        <v>SD16</v>
      </c>
      <c r="B120" s="22" t="str">
        <f>J120&amp;(COUNTIF(J$2:J120,J120))</f>
        <v>Leicestershire3</v>
      </c>
      <c r="C120" t="s">
        <v>79</v>
      </c>
      <c r="D120" t="s">
        <v>79</v>
      </c>
      <c r="E120" s="25" t="s">
        <v>368</v>
      </c>
      <c r="F120" s="25" t="s">
        <v>382</v>
      </c>
      <c r="G120" s="25" t="s">
        <v>5</v>
      </c>
      <c r="H120" s="26" t="s">
        <v>895</v>
      </c>
      <c r="I120" s="27" t="s">
        <v>383</v>
      </c>
      <c r="J120" t="s">
        <v>318</v>
      </c>
      <c r="K120" t="s">
        <v>336</v>
      </c>
    </row>
    <row r="121" spans="1:11" ht="14.4">
      <c r="A121" s="22" t="str">
        <f>F121&amp;(COUNTIFS(F$2:F121,F121,K$2:K121,"Sparse"))</f>
        <v>L0</v>
      </c>
      <c r="B121" s="22" t="str">
        <f>J121&amp;(COUNTIF(J$2:J121,J121))</f>
        <v>London14</v>
      </c>
      <c r="C121" t="s">
        <v>207</v>
      </c>
      <c r="D121" t="s">
        <v>207</v>
      </c>
      <c r="E121" s="25" t="s">
        <v>384</v>
      </c>
      <c r="F121" s="25" t="s">
        <v>360</v>
      </c>
      <c r="G121" s="25" t="s">
        <v>384</v>
      </c>
      <c r="H121" s="26" t="s">
        <v>899</v>
      </c>
      <c r="I121" s="27" t="s">
        <v>385</v>
      </c>
      <c r="J121" t="str">
        <f>G121</f>
        <v>London</v>
      </c>
    </row>
    <row r="122" spans="1:11" ht="14.4">
      <c r="A122" s="22" t="str">
        <f>F122&amp;(COUNTIFS(F$2:F122,F122,K$2:K122,"Sparse"))</f>
        <v>SD16</v>
      </c>
      <c r="B122" s="22" t="str">
        <f>J122&amp;(COUNTIF(J$2:J122,J122))</f>
        <v>Essex9</v>
      </c>
      <c r="C122" t="s">
        <v>80</v>
      </c>
      <c r="D122" t="s">
        <v>80</v>
      </c>
      <c r="E122" s="25" t="s">
        <v>370</v>
      </c>
      <c r="F122" s="25" t="s">
        <v>382</v>
      </c>
      <c r="G122" s="25" t="s">
        <v>5</v>
      </c>
      <c r="H122" s="26" t="s">
        <v>894</v>
      </c>
      <c r="I122" s="27" t="s">
        <v>385</v>
      </c>
      <c r="J122" t="s">
        <v>312</v>
      </c>
    </row>
    <row r="123" spans="1:11" ht="14.4">
      <c r="A123" s="22" t="str">
        <f>F123&amp;(COUNTIFS(F$2:F123,F123,K$2:K123,"Sparse"))</f>
        <v>SD17</v>
      </c>
      <c r="B123" s="22" t="str">
        <f>J123&amp;(COUNTIF(J$2:J123,J123))</f>
        <v>North Yorkshire3</v>
      </c>
      <c r="C123" t="s">
        <v>81</v>
      </c>
      <c r="D123" t="s">
        <v>81</v>
      </c>
      <c r="E123" s="25" t="s">
        <v>386</v>
      </c>
      <c r="F123" s="25" t="s">
        <v>382</v>
      </c>
      <c r="G123" s="25" t="s">
        <v>5</v>
      </c>
      <c r="H123" s="26" t="s">
        <v>897</v>
      </c>
      <c r="I123" s="27" t="s">
        <v>372</v>
      </c>
      <c r="J123" t="s">
        <v>321</v>
      </c>
      <c r="K123" t="s">
        <v>336</v>
      </c>
    </row>
    <row r="124" spans="1:11" ht="14.4">
      <c r="A124" s="22" t="str">
        <f>F124&amp;(COUNTIFS(F$2:F124,F124,K$2:K124,"Sparse"))</f>
        <v>L0</v>
      </c>
      <c r="B124" s="22" t="str">
        <f>J124&amp;(COUNTIF(J$2:J124,J124))</f>
        <v>London15</v>
      </c>
      <c r="C124" t="s">
        <v>208</v>
      </c>
      <c r="D124" t="s">
        <v>208</v>
      </c>
      <c r="E124" s="25" t="s">
        <v>384</v>
      </c>
      <c r="F124" s="25" t="s">
        <v>360</v>
      </c>
      <c r="G124" s="25" t="s">
        <v>384</v>
      </c>
      <c r="H124" s="26" t="s">
        <v>899</v>
      </c>
      <c r="I124" s="27" t="s">
        <v>385</v>
      </c>
      <c r="J124" t="str">
        <f>G124</f>
        <v>London</v>
      </c>
    </row>
    <row r="125" spans="1:11" ht="14.4">
      <c r="A125" s="22" t="str">
        <f>F125&amp;(COUNTIFS(F$2:F125,F125,K$2:K125,"Sparse"))</f>
        <v>SD17</v>
      </c>
      <c r="B125" s="22" t="str">
        <f>J125&amp;(COUNTIF(J$2:J125,J125))</f>
        <v>Hampshire7</v>
      </c>
      <c r="C125" t="s">
        <v>82</v>
      </c>
      <c r="D125" t="s">
        <v>82</v>
      </c>
      <c r="E125" s="25" t="s">
        <v>0</v>
      </c>
      <c r="F125" s="25" t="s">
        <v>382</v>
      </c>
      <c r="G125" s="25" t="s">
        <v>5</v>
      </c>
      <c r="H125" s="26" t="s">
        <v>897</v>
      </c>
      <c r="I125" s="27" t="s">
        <v>372</v>
      </c>
      <c r="J125" t="s">
        <v>314</v>
      </c>
    </row>
    <row r="126" spans="1:11" ht="14.4">
      <c r="A126" s="22" t="str">
        <f>F126&amp;(COUNTIFS(F$2:F126,F126,K$2:K126,"Sparse"))</f>
        <v>UA4</v>
      </c>
      <c r="B126" s="22" t="str">
        <f>J126&amp;(COUNTIF(J$2:J126,J126))</f>
        <v>Unitary19</v>
      </c>
      <c r="C126" t="s">
        <v>270</v>
      </c>
      <c r="D126" t="s">
        <v>270</v>
      </c>
      <c r="E126" s="25" t="s">
        <v>391</v>
      </c>
      <c r="F126" s="25" t="s">
        <v>388</v>
      </c>
      <c r="G126" s="25" t="s">
        <v>397</v>
      </c>
      <c r="H126" s="26" t="s">
        <v>894</v>
      </c>
      <c r="I126" s="27" t="s">
        <v>385</v>
      </c>
      <c r="J126" s="3" t="s">
        <v>397</v>
      </c>
    </row>
    <row r="127" spans="1:11" ht="14.4">
      <c r="A127" s="22" t="str">
        <f>F127&amp;(COUNTIFS(F$2:F127,F127,K$2:K127,"Sparse"))</f>
        <v>SD17</v>
      </c>
      <c r="B127" s="22" t="str">
        <f>J127&amp;(COUNTIF(J$2:J127,J127))</f>
        <v>East Sussex3</v>
      </c>
      <c r="C127" t="s">
        <v>83</v>
      </c>
      <c r="D127" t="s">
        <v>83</v>
      </c>
      <c r="E127" s="25" t="s">
        <v>0</v>
      </c>
      <c r="F127" s="25" t="s">
        <v>382</v>
      </c>
      <c r="G127" s="25" t="s">
        <v>5</v>
      </c>
      <c r="H127" s="26" t="s">
        <v>894</v>
      </c>
      <c r="I127" s="27" t="s">
        <v>385</v>
      </c>
      <c r="J127" t="s">
        <v>311</v>
      </c>
    </row>
    <row r="128" spans="1:11" ht="14.4">
      <c r="A128" s="22" t="str">
        <f>F128&amp;(COUNTIFS(F$2:F128,F128,K$2:K128,"Sparse"))</f>
        <v>SD17</v>
      </c>
      <c r="B128" s="22" t="str">
        <f>J128&amp;(COUNTIF(J$2:J128,J128))</f>
        <v>Hampshire8</v>
      </c>
      <c r="C128" t="s">
        <v>84</v>
      </c>
      <c r="D128" t="s">
        <v>84</v>
      </c>
      <c r="E128" s="25" t="s">
        <v>0</v>
      </c>
      <c r="F128" s="25" t="s">
        <v>382</v>
      </c>
      <c r="G128" s="25" t="s">
        <v>5</v>
      </c>
      <c r="H128" s="26" t="s">
        <v>894</v>
      </c>
      <c r="I128" s="27" t="s">
        <v>385</v>
      </c>
      <c r="J128" t="s">
        <v>314</v>
      </c>
    </row>
    <row r="129" spans="1:11" ht="14.4">
      <c r="A129" s="22" t="str">
        <f>F129&amp;(COUNTIFS(F$2:F129,F129,K$2:K129,"Sparse"))</f>
        <v>L0</v>
      </c>
      <c r="B129" s="22" t="str">
        <f>J129&amp;(COUNTIF(J$2:J129,J129))</f>
        <v>London16</v>
      </c>
      <c r="C129" t="s">
        <v>209</v>
      </c>
      <c r="D129" t="s">
        <v>209</v>
      </c>
      <c r="E129" s="25" t="s">
        <v>384</v>
      </c>
      <c r="F129" s="25" t="s">
        <v>360</v>
      </c>
      <c r="G129" s="25" t="s">
        <v>384</v>
      </c>
      <c r="H129" s="26" t="s">
        <v>899</v>
      </c>
      <c r="I129" s="27" t="s">
        <v>385</v>
      </c>
      <c r="J129" t="str">
        <f>G129</f>
        <v>London</v>
      </c>
    </row>
    <row r="130" spans="1:11" ht="14.4">
      <c r="A130" s="22" t="str">
        <f>F130&amp;(COUNTIFS(F$2:F130,F130,K$2:K130,"Sparse"))</f>
        <v>UA5</v>
      </c>
      <c r="B130" s="22" t="str">
        <f>J130&amp;(COUNTIF(J$2:J130,J130))</f>
        <v>Unitary20</v>
      </c>
      <c r="C130" t="s">
        <v>818</v>
      </c>
      <c r="D130" t="s">
        <v>392</v>
      </c>
      <c r="E130" s="25" t="s">
        <v>369</v>
      </c>
      <c r="F130" s="25" t="s">
        <v>388</v>
      </c>
      <c r="G130" s="25" t="s">
        <v>397</v>
      </c>
      <c r="H130" s="26" t="s">
        <v>898</v>
      </c>
      <c r="I130" s="27" t="s">
        <v>383</v>
      </c>
      <c r="J130" s="3" t="s">
        <v>397</v>
      </c>
      <c r="K130" t="s">
        <v>336</v>
      </c>
    </row>
    <row r="131" spans="1:11" ht="14.4">
      <c r="A131" s="22" t="str">
        <f>F131&amp;(COUNTIFS(F$2:F131,F131,K$2:K131,"Sparse"))</f>
        <v>SC3</v>
      </c>
      <c r="B131" s="22" t="str">
        <f>J131&amp;(COUNTIF(J$2:J131,J131))</f>
        <v>Hertfordshire4</v>
      </c>
      <c r="C131" s="27" t="s">
        <v>315</v>
      </c>
      <c r="D131" s="27" t="s">
        <v>315</v>
      </c>
      <c r="E131" s="25" t="s">
        <v>370</v>
      </c>
      <c r="F131" s="25" t="s">
        <v>390</v>
      </c>
      <c r="G131" s="25" t="s">
        <v>302</v>
      </c>
      <c r="H131" s="27" t="s">
        <v>385</v>
      </c>
      <c r="I131" s="27" t="s">
        <v>385</v>
      </c>
      <c r="J131" t="str">
        <f>C131</f>
        <v>Hertfordshire</v>
      </c>
    </row>
    <row r="132" spans="1:11" ht="14.4">
      <c r="A132" s="22" t="str">
        <f>F132&amp;(COUNTIFS(F$2:F132,F132,K$2:K132,"Sparse"))</f>
        <v>SD17</v>
      </c>
      <c r="B132" s="22" t="str">
        <f>J132&amp;(COUNTIF(J$2:J132,J132))</f>
        <v>Hertfordshire5</v>
      </c>
      <c r="C132" t="s">
        <v>85</v>
      </c>
      <c r="D132" t="s">
        <v>85</v>
      </c>
      <c r="E132" s="25" t="s">
        <v>370</v>
      </c>
      <c r="F132" s="25" t="s">
        <v>382</v>
      </c>
      <c r="G132" s="25" t="s">
        <v>5</v>
      </c>
      <c r="H132" s="26" t="s">
        <v>899</v>
      </c>
      <c r="I132" s="27" t="s">
        <v>385</v>
      </c>
      <c r="J132" t="s">
        <v>315</v>
      </c>
    </row>
    <row r="133" spans="1:11" ht="14.4">
      <c r="A133" s="22" t="str">
        <f>F133&amp;(COUNTIFS(F$2:F133,F133,K$2:K133,"Sparse"))</f>
        <v>SD17</v>
      </c>
      <c r="B133" s="22" t="str">
        <f>J133&amp;(COUNTIF(J$2:J133,J133))</f>
        <v>Derbyshire7</v>
      </c>
      <c r="C133" t="s">
        <v>86</v>
      </c>
      <c r="D133" t="s">
        <v>86</v>
      </c>
      <c r="E133" s="25" t="s">
        <v>368</v>
      </c>
      <c r="F133" s="25" t="s">
        <v>382</v>
      </c>
      <c r="G133" s="25" t="s">
        <v>5</v>
      </c>
      <c r="H133" s="26" t="s">
        <v>898</v>
      </c>
      <c r="I133" s="27" t="s">
        <v>383</v>
      </c>
      <c r="J133" t="s">
        <v>308</v>
      </c>
    </row>
    <row r="134" spans="1:11" ht="14.4">
      <c r="A134" s="22" t="str">
        <f>F134&amp;(COUNTIFS(F$2:F134,F134,K$2:K134,"Sparse"))</f>
        <v>L0</v>
      </c>
      <c r="B134" s="22" t="str">
        <f>J134&amp;(COUNTIF(J$2:J134,J134))</f>
        <v>London17</v>
      </c>
      <c r="C134" t="s">
        <v>210</v>
      </c>
      <c r="D134" t="s">
        <v>210</v>
      </c>
      <c r="E134" s="25" t="s">
        <v>384</v>
      </c>
      <c r="F134" s="25" t="s">
        <v>360</v>
      </c>
      <c r="G134" s="25" t="s">
        <v>384</v>
      </c>
      <c r="H134" s="26" t="s">
        <v>899</v>
      </c>
      <c r="I134" s="27" t="s">
        <v>385</v>
      </c>
      <c r="J134" t="str">
        <f>G134</f>
        <v>London</v>
      </c>
    </row>
    <row r="135" spans="1:11" ht="14.4">
      <c r="A135" s="22" t="str">
        <f>F135&amp;(COUNTIFS(F$2:F135,F135,K$2:K135,"Sparse"))</f>
        <v>SD17</v>
      </c>
      <c r="B135" s="22" t="str">
        <f>J135&amp;(COUNTIF(J$2:J135,J135))</f>
        <v>Leicestershire4</v>
      </c>
      <c r="C135" t="s">
        <v>346</v>
      </c>
      <c r="D135" t="s">
        <v>346</v>
      </c>
      <c r="E135" s="25" t="s">
        <v>368</v>
      </c>
      <c r="F135" s="25" t="s">
        <v>382</v>
      </c>
      <c r="G135" s="25" t="s">
        <v>5</v>
      </c>
      <c r="H135" s="26" t="s">
        <v>898</v>
      </c>
      <c r="I135" s="27" t="s">
        <v>383</v>
      </c>
      <c r="J135" t="s">
        <v>318</v>
      </c>
    </row>
    <row r="136" spans="1:11" ht="14.4">
      <c r="A136" s="22" t="str">
        <f>F136&amp;(COUNTIFS(F$2:F136,F136,K$2:K136,"Sparse"))</f>
        <v>SD17</v>
      </c>
      <c r="B136" s="22" t="str">
        <f>J136&amp;(COUNTIF(J$2:J136,J136))</f>
        <v>West Sussex5</v>
      </c>
      <c r="C136" t="s">
        <v>87</v>
      </c>
      <c r="D136" t="s">
        <v>87</v>
      </c>
      <c r="E136" s="25" t="s">
        <v>0</v>
      </c>
      <c r="F136" s="25" t="s">
        <v>382</v>
      </c>
      <c r="G136" s="25" t="s">
        <v>5</v>
      </c>
      <c r="H136" s="26" t="s">
        <v>898</v>
      </c>
      <c r="I136" s="27" t="s">
        <v>383</v>
      </c>
      <c r="J136" t="s">
        <v>332</v>
      </c>
    </row>
    <row r="137" spans="1:11" ht="14.4">
      <c r="A137" s="22" t="str">
        <f>F137&amp;(COUNTIFS(F$2:F137,F137,K$2:K137,"Sparse"))</f>
        <v>L0</v>
      </c>
      <c r="B137" s="22" t="str">
        <f>J137&amp;(COUNTIF(J$2:J137,J137))</f>
        <v>London18</v>
      </c>
      <c r="C137" t="s">
        <v>211</v>
      </c>
      <c r="D137" t="s">
        <v>211</v>
      </c>
      <c r="E137" s="25" t="s">
        <v>384</v>
      </c>
      <c r="F137" s="25" t="s">
        <v>360</v>
      </c>
      <c r="G137" s="25" t="s">
        <v>384</v>
      </c>
      <c r="H137" s="26" t="s">
        <v>899</v>
      </c>
      <c r="I137" s="27" t="s">
        <v>385</v>
      </c>
      <c r="J137" t="str">
        <f>G137</f>
        <v>London</v>
      </c>
    </row>
    <row r="138" spans="1:11" ht="14.4">
      <c r="A138" s="22" t="str">
        <f>F138&amp;(COUNTIFS(F$2:F138,F138,K$2:K138,"Sparse"))</f>
        <v>SD17</v>
      </c>
      <c r="B138" s="22" t="str">
        <f>J138&amp;(COUNTIF(J$2:J138,J138))</f>
        <v>Cambridgeshire5</v>
      </c>
      <c r="C138" t="s">
        <v>88</v>
      </c>
      <c r="D138" t="s">
        <v>88</v>
      </c>
      <c r="E138" s="25" t="s">
        <v>370</v>
      </c>
      <c r="F138" s="25" t="s">
        <v>382</v>
      </c>
      <c r="G138" s="25" t="s">
        <v>5</v>
      </c>
      <c r="H138" s="26" t="s">
        <v>895</v>
      </c>
      <c r="I138" s="27" t="s">
        <v>383</v>
      </c>
      <c r="J138" t="s">
        <v>303</v>
      </c>
    </row>
    <row r="139" spans="1:11" ht="14.4">
      <c r="A139" s="22" t="str">
        <f>F139&amp;(COUNTIFS(F$2:F139,F139,K$2:K139,"Sparse"))</f>
        <v>SD17</v>
      </c>
      <c r="B139" s="22" t="str">
        <f>J139&amp;(COUNTIF(J$2:J139,J139))</f>
        <v>Lancashire4</v>
      </c>
      <c r="C139" t="s">
        <v>89</v>
      </c>
      <c r="D139" t="s">
        <v>89</v>
      </c>
      <c r="E139" s="25" t="s">
        <v>377</v>
      </c>
      <c r="F139" s="25" t="s">
        <v>382</v>
      </c>
      <c r="G139" s="25" t="s">
        <v>5</v>
      </c>
      <c r="H139" s="26" t="s">
        <v>894</v>
      </c>
      <c r="I139" s="27" t="s">
        <v>385</v>
      </c>
      <c r="J139" t="s">
        <v>317</v>
      </c>
    </row>
    <row r="140" spans="1:11" ht="14.4">
      <c r="A140" s="22" t="str">
        <f>F140&amp;(COUNTIFS(F$2:F140,F140,K$2:K140,"Sparse"))</f>
        <v>SD17</v>
      </c>
      <c r="B140" s="22" t="str">
        <f>J140&amp;(COUNTIF(J$2:J140,J140))</f>
        <v>Suffolk2</v>
      </c>
      <c r="C140" t="s">
        <v>90</v>
      </c>
      <c r="D140" t="s">
        <v>90</v>
      </c>
      <c r="E140" s="25" t="s">
        <v>370</v>
      </c>
      <c r="F140" s="25" t="s">
        <v>382</v>
      </c>
      <c r="G140" s="25" t="s">
        <v>5</v>
      </c>
      <c r="H140" s="26" t="s">
        <v>894</v>
      </c>
      <c r="I140" s="27" t="s">
        <v>385</v>
      </c>
      <c r="J140" t="s">
        <v>329</v>
      </c>
    </row>
    <row r="141" spans="1:11" ht="14.4">
      <c r="A141" s="22" t="str">
        <f>F141&amp;(COUNTIFS(F$2:F141,F141,K$2:K141,"Sparse"))</f>
        <v>UA6</v>
      </c>
      <c r="B141" s="22" t="str">
        <f>J141&amp;(COUNTIF(J$2:J141,J141))</f>
        <v>Unitary21</v>
      </c>
      <c r="C141" t="s">
        <v>271</v>
      </c>
      <c r="D141" t="s">
        <v>271</v>
      </c>
      <c r="E141" s="25" t="s">
        <v>0</v>
      </c>
      <c r="F141" s="25" t="s">
        <v>388</v>
      </c>
      <c r="G141" s="25" t="s">
        <v>397</v>
      </c>
      <c r="H141" s="26" t="s">
        <v>895</v>
      </c>
      <c r="I141" s="27" t="s">
        <v>383</v>
      </c>
      <c r="J141" s="3" t="s">
        <v>397</v>
      </c>
      <c r="K141" t="s">
        <v>336</v>
      </c>
    </row>
    <row r="142" spans="1:11" ht="14.4">
      <c r="A142" s="22" t="str">
        <f>F142&amp;(COUNTIFS(F$2:F142,F142,K$2:K142,"Sparse"))</f>
        <v>00</v>
      </c>
      <c r="B142" s="22" t="str">
        <f>J142&amp;(COUNTIF(J$2:J142,J142))</f>
        <v>0</v>
      </c>
      <c r="C142" t="s">
        <v>2</v>
      </c>
      <c r="D142" t="s">
        <v>2</v>
      </c>
      <c r="E142" s="25" t="s">
        <v>1</v>
      </c>
      <c r="F142" s="25">
        <v>0</v>
      </c>
      <c r="G142" s="3" t="s">
        <v>401</v>
      </c>
      <c r="H142" s="26" t="s">
        <v>895</v>
      </c>
      <c r="I142" s="27" t="s">
        <v>383</v>
      </c>
    </row>
    <row r="143" spans="1:11" ht="14.4">
      <c r="A143" s="22" t="str">
        <f>F143&amp;(COUNTIFS(F$2:F143,F143,K$2:K143,"Sparse"))</f>
        <v>L0</v>
      </c>
      <c r="B143" s="22" t="str">
        <f>J143&amp;(COUNTIF(J$2:J143,J143))</f>
        <v>London19</v>
      </c>
      <c r="C143" t="s">
        <v>212</v>
      </c>
      <c r="D143" t="s">
        <v>212</v>
      </c>
      <c r="E143" s="25" t="s">
        <v>384</v>
      </c>
      <c r="F143" s="25" t="s">
        <v>360</v>
      </c>
      <c r="G143" s="25" t="s">
        <v>384</v>
      </c>
      <c r="H143" s="26" t="s">
        <v>899</v>
      </c>
      <c r="I143" s="27" t="s">
        <v>385</v>
      </c>
      <c r="J143" t="str">
        <f>G143</f>
        <v>London</v>
      </c>
    </row>
    <row r="144" spans="1:11" ht="14.4">
      <c r="A144" s="22" t="str">
        <f>F144&amp;(COUNTIFS(F$2:F144,F144,K$2:K144,"Sparse"))</f>
        <v>L0</v>
      </c>
      <c r="B144" s="22" t="str">
        <f>J144&amp;(COUNTIF(J$2:J144,J144))</f>
        <v>London20</v>
      </c>
      <c r="C144" t="s">
        <v>338</v>
      </c>
      <c r="D144" t="s">
        <v>338</v>
      </c>
      <c r="E144" s="25" t="s">
        <v>384</v>
      </c>
      <c r="F144" s="25" t="s">
        <v>360</v>
      </c>
      <c r="G144" s="25" t="s">
        <v>384</v>
      </c>
      <c r="H144" s="26" t="s">
        <v>899</v>
      </c>
      <c r="I144" s="27" t="s">
        <v>385</v>
      </c>
      <c r="J144" t="str">
        <f>G144</f>
        <v>London</v>
      </c>
    </row>
    <row r="145" spans="1:11" ht="14.4">
      <c r="A145" s="22" t="str">
        <f>F145&amp;(COUNTIFS(F$2:F145,F145,K$2:K145,"Sparse"))</f>
        <v>SC3</v>
      </c>
      <c r="B145" s="22" t="str">
        <f>J145&amp;(COUNTIF(J$2:J145,J145))</f>
        <v>Kent6</v>
      </c>
      <c r="C145" s="27" t="s">
        <v>316</v>
      </c>
      <c r="D145" s="27" t="s">
        <v>316</v>
      </c>
      <c r="E145" s="25" t="s">
        <v>370</v>
      </c>
      <c r="F145" s="25" t="s">
        <v>390</v>
      </c>
      <c r="G145" s="25" t="s">
        <v>302</v>
      </c>
      <c r="H145" s="27" t="s">
        <v>372</v>
      </c>
      <c r="I145" s="27" t="s">
        <v>372</v>
      </c>
      <c r="J145" t="str">
        <f>C145</f>
        <v>Kent</v>
      </c>
    </row>
    <row r="146" spans="1:11" ht="14.4">
      <c r="A146" s="22" t="str">
        <f>F146&amp;(COUNTIFS(F$2:F146,F146,K$2:K146,"Sparse"))</f>
        <v>SD18</v>
      </c>
      <c r="B146" s="22" t="str">
        <f>J146&amp;(COUNTIF(J$2:J146,J146))</f>
        <v>Norfolk4</v>
      </c>
      <c r="C146" t="s">
        <v>378</v>
      </c>
      <c r="D146" t="s">
        <v>378</v>
      </c>
      <c r="E146" s="25" t="s">
        <v>370</v>
      </c>
      <c r="F146" s="25" t="s">
        <v>382</v>
      </c>
      <c r="G146" s="25" t="s">
        <v>5</v>
      </c>
      <c r="H146" s="26" t="s">
        <v>898</v>
      </c>
      <c r="I146" s="27" t="s">
        <v>383</v>
      </c>
      <c r="J146" t="s">
        <v>320</v>
      </c>
      <c r="K146" t="s">
        <v>336</v>
      </c>
    </row>
    <row r="147" spans="1:11" ht="14.4">
      <c r="A147" s="22" t="str">
        <f>F147&amp;(COUNTIFS(F$2:F147,F147,K$2:K147,"Sparse"))</f>
        <v>UA6</v>
      </c>
      <c r="B147" s="22" t="str">
        <f>J147&amp;(COUNTIF(J$2:J147,J147))</f>
        <v>Unitary22</v>
      </c>
      <c r="C147" t="s">
        <v>819</v>
      </c>
      <c r="D147" t="s">
        <v>393</v>
      </c>
      <c r="E147" s="25" t="s">
        <v>386</v>
      </c>
      <c r="F147" s="25" t="s">
        <v>388</v>
      </c>
      <c r="G147" s="25" t="s">
        <v>397</v>
      </c>
      <c r="H147" s="26" t="s">
        <v>894</v>
      </c>
      <c r="I147" s="27" t="s">
        <v>385</v>
      </c>
      <c r="J147" s="3" t="s">
        <v>397</v>
      </c>
    </row>
    <row r="148" spans="1:11" ht="14.4">
      <c r="A148" s="22" t="str">
        <f>F148&amp;(COUNTIFS(F$2:F148,F148,K$2:K148,"Sparse"))</f>
        <v>L0</v>
      </c>
      <c r="B148" s="22" t="str">
        <f>J148&amp;(COUNTIF(J$2:J148,J148))</f>
        <v>London21</v>
      </c>
      <c r="C148" t="s">
        <v>394</v>
      </c>
      <c r="D148" t="s">
        <v>394</v>
      </c>
      <c r="E148" s="25" t="s">
        <v>384</v>
      </c>
      <c r="F148" s="25" t="s">
        <v>360</v>
      </c>
      <c r="G148" s="25" t="s">
        <v>384</v>
      </c>
      <c r="H148" s="26" t="s">
        <v>899</v>
      </c>
      <c r="I148" s="27" t="s">
        <v>385</v>
      </c>
      <c r="J148" t="str">
        <f>G148</f>
        <v>London</v>
      </c>
    </row>
    <row r="149" spans="1:11" ht="14.4">
      <c r="A149" s="22" t="str">
        <f>F149&amp;(COUNTIFS(F$2:F149,F149,K$2:K149,"Sparse"))</f>
        <v>MD0</v>
      </c>
      <c r="B149" s="22" t="str">
        <f>J149&amp;(COUNTIF(J$2:J149,J149))</f>
        <v>Kirklees1</v>
      </c>
      <c r="C149" t="s">
        <v>233</v>
      </c>
      <c r="D149" t="s">
        <v>233</v>
      </c>
      <c r="E149" s="25" t="s">
        <v>386</v>
      </c>
      <c r="F149" s="25" t="s">
        <v>387</v>
      </c>
      <c r="G149" s="25" t="s">
        <v>398</v>
      </c>
      <c r="H149" s="26" t="s">
        <v>899</v>
      </c>
      <c r="I149" s="27" t="s">
        <v>385</v>
      </c>
      <c r="J149" t="str">
        <f>C149</f>
        <v>Kirklees</v>
      </c>
    </row>
    <row r="150" spans="1:11" ht="14.4">
      <c r="A150" s="22" t="str">
        <f>F150&amp;(COUNTIFS(F$2:F150,F150,K$2:K150,"Sparse"))</f>
        <v>MD0</v>
      </c>
      <c r="B150" s="22" t="str">
        <f>J150&amp;(COUNTIF(J$2:J150,J150))</f>
        <v>Knowsley1</v>
      </c>
      <c r="C150" t="s">
        <v>234</v>
      </c>
      <c r="D150" t="s">
        <v>234</v>
      </c>
      <c r="E150" s="25" t="s">
        <v>377</v>
      </c>
      <c r="F150" s="25" t="s">
        <v>387</v>
      </c>
      <c r="G150" s="25" t="s">
        <v>398</v>
      </c>
      <c r="H150" s="26" t="s">
        <v>899</v>
      </c>
      <c r="I150" s="27" t="s">
        <v>385</v>
      </c>
      <c r="J150" t="str">
        <f>C150</f>
        <v>Knowsley</v>
      </c>
    </row>
    <row r="151" spans="1:11" ht="14.4">
      <c r="A151" s="22" t="str">
        <f>F151&amp;(COUNTIFS(F$2:F151,F151,K$2:K151,"Sparse"))</f>
        <v>L0</v>
      </c>
      <c r="B151" s="22" t="str">
        <f>J151&amp;(COUNTIF(J$2:J151,J151))</f>
        <v>London22</v>
      </c>
      <c r="C151" t="s">
        <v>213</v>
      </c>
      <c r="D151" t="s">
        <v>213</v>
      </c>
      <c r="E151" s="25" t="s">
        <v>384</v>
      </c>
      <c r="F151" s="25" t="s">
        <v>360</v>
      </c>
      <c r="G151" s="25" t="s">
        <v>384</v>
      </c>
      <c r="H151" s="26" t="s">
        <v>899</v>
      </c>
      <c r="I151" s="27" t="s">
        <v>385</v>
      </c>
      <c r="J151" t="str">
        <f>G151</f>
        <v>London</v>
      </c>
    </row>
    <row r="152" spans="1:11" ht="14.4">
      <c r="A152" s="22" t="str">
        <f>F152&amp;(COUNTIFS(F$2:F152,F152,K$2:K152,"Sparse"))</f>
        <v>SC4</v>
      </c>
      <c r="B152" s="22" t="str">
        <f>J152&amp;(COUNTIF(J$2:J152,J152))</f>
        <v>Lancashire5</v>
      </c>
      <c r="C152" s="27" t="s">
        <v>317</v>
      </c>
      <c r="D152" s="27" t="s">
        <v>317</v>
      </c>
      <c r="E152" s="25" t="s">
        <v>377</v>
      </c>
      <c r="F152" s="25" t="s">
        <v>390</v>
      </c>
      <c r="G152" s="25" t="s">
        <v>302</v>
      </c>
      <c r="H152" s="27" t="s">
        <v>372</v>
      </c>
      <c r="I152" s="27" t="s">
        <v>372</v>
      </c>
      <c r="J152" t="str">
        <f>C152</f>
        <v>Lancashire</v>
      </c>
      <c r="K152" t="s">
        <v>336</v>
      </c>
    </row>
    <row r="153" spans="1:11" ht="14.4">
      <c r="A153" s="22" t="str">
        <f>F153&amp;(COUNTIFS(F$2:F153,F153,K$2:K153,"Sparse"))</f>
        <v>SD18</v>
      </c>
      <c r="B153" s="22" t="str">
        <f>J153&amp;(COUNTIF(J$2:J153,J153))</f>
        <v>Lancashire6</v>
      </c>
      <c r="C153" t="s">
        <v>92</v>
      </c>
      <c r="D153" t="s">
        <v>92</v>
      </c>
      <c r="E153" s="25" t="s">
        <v>377</v>
      </c>
      <c r="F153" s="25" t="s">
        <v>382</v>
      </c>
      <c r="G153" s="25" t="s">
        <v>5</v>
      </c>
      <c r="H153" s="26" t="s">
        <v>897</v>
      </c>
      <c r="I153" s="27" t="s">
        <v>372</v>
      </c>
      <c r="J153" t="s">
        <v>317</v>
      </c>
    </row>
    <row r="154" spans="1:11" ht="14.4">
      <c r="A154" s="22" t="str">
        <f>F154&amp;(COUNTIFS(F$2:F154,F154,K$2:K154,"Sparse"))</f>
        <v>MD0</v>
      </c>
      <c r="B154" s="22" t="str">
        <f>J154&amp;(COUNTIF(J$2:J154,J154))</f>
        <v>Leeds1</v>
      </c>
      <c r="C154" t="s">
        <v>235</v>
      </c>
      <c r="D154" t="s">
        <v>235</v>
      </c>
      <c r="E154" s="25" t="s">
        <v>386</v>
      </c>
      <c r="F154" s="25" t="s">
        <v>387</v>
      </c>
      <c r="G154" s="25" t="s">
        <v>398</v>
      </c>
      <c r="H154" s="26" t="s">
        <v>899</v>
      </c>
      <c r="I154" s="27" t="s">
        <v>385</v>
      </c>
      <c r="J154" t="str">
        <f>C154</f>
        <v>Leeds</v>
      </c>
    </row>
    <row r="155" spans="1:11" ht="14.4">
      <c r="A155" s="22" t="str">
        <f>F155&amp;(COUNTIFS(F$2:F155,F155,K$2:K155,"Sparse"))</f>
        <v>UA6</v>
      </c>
      <c r="B155" s="22" t="str">
        <f>J155&amp;(COUNTIF(J$2:J155,J155))</f>
        <v>Unitary23</v>
      </c>
      <c r="C155" t="s">
        <v>272</v>
      </c>
      <c r="D155" t="s">
        <v>272</v>
      </c>
      <c r="E155" s="25" t="s">
        <v>368</v>
      </c>
      <c r="F155" s="25" t="s">
        <v>388</v>
      </c>
      <c r="G155" s="25" t="s">
        <v>397</v>
      </c>
      <c r="H155" s="26" t="s">
        <v>894</v>
      </c>
      <c r="I155" s="27" t="s">
        <v>385</v>
      </c>
      <c r="J155" s="3" t="s">
        <v>397</v>
      </c>
    </row>
    <row r="156" spans="1:11" ht="14.4">
      <c r="A156" s="22" t="str">
        <f>F156&amp;(COUNTIFS(F$2:F156,F156,K$2:K156,"Sparse"))</f>
        <v>SC4</v>
      </c>
      <c r="B156" s="22" t="str">
        <f>J156&amp;(COUNTIF(J$2:J156,J156))</f>
        <v>Leicestershire5</v>
      </c>
      <c r="C156" s="27" t="s">
        <v>318</v>
      </c>
      <c r="D156" s="27" t="s">
        <v>318</v>
      </c>
      <c r="E156" s="25" t="s">
        <v>368</v>
      </c>
      <c r="F156" s="25" t="s">
        <v>390</v>
      </c>
      <c r="G156" s="25" t="s">
        <v>302</v>
      </c>
      <c r="H156" s="27" t="s">
        <v>372</v>
      </c>
      <c r="I156" s="27" t="s">
        <v>372</v>
      </c>
      <c r="J156" t="str">
        <f>C156</f>
        <v>Leicestershire</v>
      </c>
    </row>
    <row r="157" spans="1:11" ht="14.4">
      <c r="A157" s="22" t="str">
        <f>F157&amp;(COUNTIFS(F$2:F157,F157,K$2:K157,"Sparse"))</f>
        <v>SD19</v>
      </c>
      <c r="B157" s="22" t="str">
        <f>J157&amp;(COUNTIF(J$2:J157,J157))</f>
        <v>East Sussex4</v>
      </c>
      <c r="C157" t="s">
        <v>93</v>
      </c>
      <c r="D157" t="s">
        <v>93</v>
      </c>
      <c r="E157" s="25" t="s">
        <v>0</v>
      </c>
      <c r="F157" s="25" t="s">
        <v>382</v>
      </c>
      <c r="G157" s="25" t="s">
        <v>5</v>
      </c>
      <c r="H157" s="26" t="s">
        <v>897</v>
      </c>
      <c r="I157" s="27" t="s">
        <v>372</v>
      </c>
      <c r="J157" t="s">
        <v>311</v>
      </c>
      <c r="K157" t="s">
        <v>336</v>
      </c>
    </row>
    <row r="158" spans="1:11" ht="14.4">
      <c r="A158" s="22" t="str">
        <f>F158&amp;(COUNTIFS(F$2:F158,F158,K$2:K158,"Sparse"))</f>
        <v>L0</v>
      </c>
      <c r="B158" s="22" t="str">
        <f>J158&amp;(COUNTIF(J$2:J158,J158))</f>
        <v>London23</v>
      </c>
      <c r="C158" t="s">
        <v>214</v>
      </c>
      <c r="D158" t="s">
        <v>214</v>
      </c>
      <c r="E158" s="25" t="s">
        <v>384</v>
      </c>
      <c r="F158" s="25" t="s">
        <v>360</v>
      </c>
      <c r="G158" s="25" t="s">
        <v>384</v>
      </c>
      <c r="H158" s="26" t="s">
        <v>899</v>
      </c>
      <c r="I158" s="27" t="s">
        <v>385</v>
      </c>
      <c r="J158" t="str">
        <f>G158</f>
        <v>London</v>
      </c>
    </row>
    <row r="159" spans="1:11" ht="14.4">
      <c r="A159" s="22" t="str">
        <f>F159&amp;(COUNTIFS(F$2:F159,F159,K$2:K159,"Sparse"))</f>
        <v>SD20</v>
      </c>
      <c r="B159" s="22" t="str">
        <f>J159&amp;(COUNTIF(J$2:J159,J159))</f>
        <v>Staffordshire3</v>
      </c>
      <c r="C159" t="s">
        <v>94</v>
      </c>
      <c r="D159" t="s">
        <v>94</v>
      </c>
      <c r="E159" s="25" t="s">
        <v>369</v>
      </c>
      <c r="F159" s="25" t="s">
        <v>382</v>
      </c>
      <c r="G159" s="25" t="s">
        <v>5</v>
      </c>
      <c r="H159" s="26" t="s">
        <v>897</v>
      </c>
      <c r="I159" s="27" t="s">
        <v>372</v>
      </c>
      <c r="J159" t="s">
        <v>328</v>
      </c>
      <c r="K159" t="s">
        <v>336</v>
      </c>
    </row>
    <row r="160" spans="1:11" ht="14.4">
      <c r="A160" s="22" t="str">
        <f>F160&amp;(COUNTIFS(F$2:F160,F160,K$2:K160,"Sparse"))</f>
        <v>SD20</v>
      </c>
      <c r="B160" s="22" t="str">
        <f>J160&amp;(COUNTIF(J$2:J160,J160))</f>
        <v>Lincolnshire3</v>
      </c>
      <c r="C160" t="s">
        <v>95</v>
      </c>
      <c r="D160" t="s">
        <v>95</v>
      </c>
      <c r="E160" s="25" t="s">
        <v>368</v>
      </c>
      <c r="F160" s="25" t="s">
        <v>382</v>
      </c>
      <c r="G160" s="25" t="s">
        <v>5</v>
      </c>
      <c r="H160" s="26" t="s">
        <v>894</v>
      </c>
      <c r="I160" s="27" t="s">
        <v>385</v>
      </c>
      <c r="J160" t="s">
        <v>319</v>
      </c>
    </row>
    <row r="161" spans="1:11" ht="14.4">
      <c r="A161" s="22" t="str">
        <f>F161&amp;(COUNTIFS(F$2:F161,F161,K$2:K161,"Sparse"))</f>
        <v>SC5</v>
      </c>
      <c r="B161" s="22" t="str">
        <f>J161&amp;(COUNTIF(J$2:J161,J161))</f>
        <v>Lincolnshire4</v>
      </c>
      <c r="C161" s="27" t="s">
        <v>319</v>
      </c>
      <c r="D161" s="27" t="s">
        <v>319</v>
      </c>
      <c r="E161" s="25" t="s">
        <v>368</v>
      </c>
      <c r="F161" s="25" t="s">
        <v>390</v>
      </c>
      <c r="G161" s="25" t="s">
        <v>302</v>
      </c>
      <c r="H161" s="27" t="s">
        <v>383</v>
      </c>
      <c r="I161" s="27" t="s">
        <v>383</v>
      </c>
      <c r="J161" t="str">
        <f>C161</f>
        <v>Lincolnshire</v>
      </c>
      <c r="K161" t="s">
        <v>336</v>
      </c>
    </row>
    <row r="162" spans="1:11" ht="14.4">
      <c r="A162" s="22" t="str">
        <f>F162&amp;(COUNTIFS(F$2:F162,F162,K$2:K162,"Sparse"))</f>
        <v>MD0</v>
      </c>
      <c r="B162" s="22" t="str">
        <f>J162&amp;(COUNTIF(J$2:J162,J162))</f>
        <v>Liverpool1</v>
      </c>
      <c r="C162" t="s">
        <v>236</v>
      </c>
      <c r="D162" t="s">
        <v>236</v>
      </c>
      <c r="E162" s="25" t="s">
        <v>377</v>
      </c>
      <c r="F162" s="25" t="s">
        <v>387</v>
      </c>
      <c r="G162" s="25" t="s">
        <v>398</v>
      </c>
      <c r="H162" s="26" t="s">
        <v>899</v>
      </c>
      <c r="I162" s="27" t="s">
        <v>385</v>
      </c>
      <c r="J162" t="str">
        <f>C162</f>
        <v>Liverpool</v>
      </c>
    </row>
    <row r="163" spans="1:11" ht="14.4">
      <c r="A163" s="22" t="str">
        <f>F163&amp;(COUNTIFS(F$2:F163,F163,K$2:K163,"Sparse"))</f>
        <v>UA6</v>
      </c>
      <c r="B163" s="22" t="str">
        <f>J163&amp;(COUNTIF(J$2:J163,J163))</f>
        <v>Unitary24</v>
      </c>
      <c r="C163" t="s">
        <v>273</v>
      </c>
      <c r="D163" t="s">
        <v>273</v>
      </c>
      <c r="E163" s="25" t="s">
        <v>370</v>
      </c>
      <c r="F163" s="25" t="s">
        <v>388</v>
      </c>
      <c r="G163" s="25" t="s">
        <v>397</v>
      </c>
      <c r="H163" s="26" t="s">
        <v>894</v>
      </c>
      <c r="I163" s="27" t="s">
        <v>385</v>
      </c>
      <c r="J163" s="3" t="s">
        <v>397</v>
      </c>
    </row>
    <row r="164" spans="1:11" ht="14.4">
      <c r="A164" s="22" t="str">
        <f>F164&amp;(COUNTIFS(F$2:F164,F164,K$2:K164,"Sparse"))</f>
        <v>SD20</v>
      </c>
      <c r="B164" s="22" t="str">
        <f>J164&amp;(COUNTIF(J$2:J164,J164))</f>
        <v>Kent7</v>
      </c>
      <c r="C164" t="s">
        <v>96</v>
      </c>
      <c r="D164" t="s">
        <v>96</v>
      </c>
      <c r="E164" s="25" t="s">
        <v>0</v>
      </c>
      <c r="F164" s="25" t="s">
        <v>382</v>
      </c>
      <c r="G164" s="25" t="s">
        <v>5</v>
      </c>
      <c r="H164" s="26" t="s">
        <v>897</v>
      </c>
      <c r="I164" s="27" t="s">
        <v>372</v>
      </c>
      <c r="J164" t="s">
        <v>316</v>
      </c>
    </row>
    <row r="165" spans="1:11" ht="14.4">
      <c r="A165" s="22" t="str">
        <f>F165&amp;(COUNTIFS(F$2:F165,F165,K$2:K165,"Sparse"))</f>
        <v>SD20</v>
      </c>
      <c r="B165" s="22" t="str">
        <f>J165&amp;(COUNTIF(J$2:J165,J165))</f>
        <v>Essex10</v>
      </c>
      <c r="C165" t="s">
        <v>97</v>
      </c>
      <c r="D165" t="s">
        <v>97</v>
      </c>
      <c r="E165" s="25" t="s">
        <v>370</v>
      </c>
      <c r="F165" s="25" t="s">
        <v>382</v>
      </c>
      <c r="G165" s="25" t="s">
        <v>5</v>
      </c>
      <c r="H165" s="26" t="s">
        <v>895</v>
      </c>
      <c r="I165" s="27" t="s">
        <v>383</v>
      </c>
      <c r="J165" t="s">
        <v>312</v>
      </c>
    </row>
    <row r="166" spans="1:11" ht="14.4">
      <c r="A166" s="22" t="str">
        <f>F166&amp;(COUNTIFS(F$2:F166,F166,K$2:K166,"Sparse"))</f>
        <v>SD21</v>
      </c>
      <c r="B166" s="22" t="str">
        <f>J166&amp;(COUNTIF(J$2:J166,J166))</f>
        <v>Worcestershire2</v>
      </c>
      <c r="C166" t="s">
        <v>98</v>
      </c>
      <c r="D166" t="s">
        <v>98</v>
      </c>
      <c r="E166" s="25" t="s">
        <v>369</v>
      </c>
      <c r="F166" s="25" t="s">
        <v>382</v>
      </c>
      <c r="G166" s="25" t="s">
        <v>5</v>
      </c>
      <c r="H166" s="26" t="s">
        <v>898</v>
      </c>
      <c r="I166" s="27" t="s">
        <v>383</v>
      </c>
      <c r="J166" t="s">
        <v>333</v>
      </c>
      <c r="K166" t="s">
        <v>336</v>
      </c>
    </row>
    <row r="167" spans="1:11" ht="14.4">
      <c r="A167" s="22" t="str">
        <f>F167&amp;(COUNTIFS(F$2:F167,F167,K$2:K167,"Sparse"))</f>
        <v>MD0</v>
      </c>
      <c r="B167" s="22" t="str">
        <f>J167&amp;(COUNTIF(J$2:J167,J167))</f>
        <v>Manchester1</v>
      </c>
      <c r="C167" t="s">
        <v>237</v>
      </c>
      <c r="D167" t="s">
        <v>237</v>
      </c>
      <c r="E167" s="25" t="s">
        <v>377</v>
      </c>
      <c r="F167" s="25" t="s">
        <v>387</v>
      </c>
      <c r="G167" s="25" t="s">
        <v>398</v>
      </c>
      <c r="H167" s="26" t="s">
        <v>899</v>
      </c>
      <c r="I167" s="27" t="s">
        <v>385</v>
      </c>
      <c r="J167" t="str">
        <f>C167</f>
        <v>Manchester</v>
      </c>
    </row>
    <row r="168" spans="1:11" ht="14.4">
      <c r="A168" s="22" t="str">
        <f>F168&amp;(COUNTIFS(F$2:F168,F168,K$2:K168,"Sparse"))</f>
        <v>SD21</v>
      </c>
      <c r="B168" s="22" t="str">
        <f>J168&amp;(COUNTIF(J$2:J168,J168))</f>
        <v>Nottinghamshire5</v>
      </c>
      <c r="C168" t="s">
        <v>99</v>
      </c>
      <c r="D168" t="s">
        <v>99</v>
      </c>
      <c r="E168" s="25" t="s">
        <v>368</v>
      </c>
      <c r="F168" s="25" t="s">
        <v>382</v>
      </c>
      <c r="G168" s="25" t="s">
        <v>5</v>
      </c>
      <c r="H168" s="26" t="s">
        <v>894</v>
      </c>
      <c r="I168" s="27" t="s">
        <v>385</v>
      </c>
      <c r="J168" t="s">
        <v>324</v>
      </c>
    </row>
    <row r="169" spans="1:11" ht="14.4">
      <c r="A169" s="22" t="str">
        <f>F169&amp;(COUNTIFS(F$2:F169,F169,K$2:K169,"Sparse"))</f>
        <v>UA6</v>
      </c>
      <c r="B169" s="22" t="str">
        <f>J169&amp;(COUNTIF(J$2:J169,J169))</f>
        <v>Unitary25</v>
      </c>
      <c r="C169" t="s">
        <v>274</v>
      </c>
      <c r="D169" t="s">
        <v>274</v>
      </c>
      <c r="E169" s="25" t="s">
        <v>0</v>
      </c>
      <c r="F169" s="25" t="s">
        <v>388</v>
      </c>
      <c r="G169" s="25" t="s">
        <v>397</v>
      </c>
      <c r="H169" s="26" t="s">
        <v>894</v>
      </c>
      <c r="I169" s="27" t="s">
        <v>385</v>
      </c>
      <c r="J169" s="3" t="s">
        <v>397</v>
      </c>
    </row>
    <row r="170" spans="1:11" ht="14.4">
      <c r="A170" s="22" t="str">
        <f>F170&amp;(COUNTIFS(F$2:F170,F170,K$2:K170,"Sparse"))</f>
        <v>SD22</v>
      </c>
      <c r="B170" s="22" t="str">
        <f>J170&amp;(COUNTIF(J$2:J170,J170))</f>
        <v>Leicestershire6</v>
      </c>
      <c r="C170" t="s">
        <v>100</v>
      </c>
      <c r="D170" t="s">
        <v>100</v>
      </c>
      <c r="E170" s="25" t="s">
        <v>368</v>
      </c>
      <c r="F170" s="25" t="s">
        <v>382</v>
      </c>
      <c r="G170" s="25" t="s">
        <v>5</v>
      </c>
      <c r="H170" s="26" t="s">
        <v>895</v>
      </c>
      <c r="I170" s="27" t="s">
        <v>383</v>
      </c>
      <c r="J170" t="s">
        <v>318</v>
      </c>
      <c r="K170" t="s">
        <v>336</v>
      </c>
    </row>
    <row r="171" spans="1:11" ht="14.4">
      <c r="A171" s="22" t="str">
        <f>F171&amp;(COUNTIFS(F$2:F171,F171,K$2:K171,"Sparse"))</f>
        <v>SD23</v>
      </c>
      <c r="B171" s="22" t="str">
        <f>J171&amp;(COUNTIF(J$2:J171,J171))</f>
        <v>Somerset1</v>
      </c>
      <c r="C171" t="s">
        <v>101</v>
      </c>
      <c r="D171" t="s">
        <v>101</v>
      </c>
      <c r="E171" s="25" t="s">
        <v>1</v>
      </c>
      <c r="F171" s="25" t="s">
        <v>382</v>
      </c>
      <c r="G171" s="25" t="s">
        <v>5</v>
      </c>
      <c r="H171" s="26" t="s">
        <v>895</v>
      </c>
      <c r="I171" s="27" t="s">
        <v>383</v>
      </c>
      <c r="J171" t="s">
        <v>327</v>
      </c>
      <c r="K171" t="s">
        <v>336</v>
      </c>
    </row>
    <row r="172" spans="1:11" ht="14.4">
      <c r="A172" s="22" t="str">
        <f>F172&amp;(COUNTIFS(F$2:F172,F172,K$2:K172,"Sparse"))</f>
        <v>L0</v>
      </c>
      <c r="B172" s="22" t="str">
        <f>J172&amp;(COUNTIF(J$2:J172,J172))</f>
        <v>London24</v>
      </c>
      <c r="C172" t="s">
        <v>215</v>
      </c>
      <c r="D172" t="s">
        <v>215</v>
      </c>
      <c r="E172" s="25" t="s">
        <v>384</v>
      </c>
      <c r="F172" s="25" t="s">
        <v>360</v>
      </c>
      <c r="G172" s="25" t="s">
        <v>384</v>
      </c>
      <c r="H172" s="26" t="s">
        <v>899</v>
      </c>
      <c r="I172" s="27" t="s">
        <v>385</v>
      </c>
      <c r="J172" t="str">
        <f>G172</f>
        <v>London</v>
      </c>
    </row>
    <row r="173" spans="1:11" ht="14.4">
      <c r="A173" s="22" t="str">
        <f>F173&amp;(COUNTIFS(F$2:F173,F173,K$2:K173,"Sparse"))</f>
        <v>SD24</v>
      </c>
      <c r="B173" s="22" t="str">
        <f>J173&amp;(COUNTIF(J$2:J173,J173))</f>
        <v>Devon4</v>
      </c>
      <c r="C173" t="s">
        <v>102</v>
      </c>
      <c r="D173" t="s">
        <v>102</v>
      </c>
      <c r="E173" s="25" t="s">
        <v>1</v>
      </c>
      <c r="F173" s="25" t="s">
        <v>382</v>
      </c>
      <c r="G173" s="25" t="s">
        <v>5</v>
      </c>
      <c r="H173" s="26" t="s">
        <v>895</v>
      </c>
      <c r="I173" s="27" t="s">
        <v>383</v>
      </c>
      <c r="J173" t="s">
        <v>309</v>
      </c>
      <c r="K173" t="s">
        <v>336</v>
      </c>
    </row>
    <row r="174" spans="1:11" ht="14.4">
      <c r="A174" s="22" t="str">
        <f>F174&amp;(COUNTIFS(F$2:F174,F174,K$2:K174,"Sparse"))</f>
        <v>SD25</v>
      </c>
      <c r="B174" s="22" t="str">
        <f>J174&amp;(COUNTIF(J$2:J174,J174))</f>
        <v>Suffolk3</v>
      </c>
      <c r="C174" t="s">
        <v>911</v>
      </c>
      <c r="D174" t="s">
        <v>911</v>
      </c>
      <c r="E174" s="25" t="s">
        <v>370</v>
      </c>
      <c r="F174" s="25" t="s">
        <v>382</v>
      </c>
      <c r="G174" s="25" t="s">
        <v>5</v>
      </c>
      <c r="H174" s="26" t="s">
        <v>895</v>
      </c>
      <c r="I174" s="27" t="s">
        <v>383</v>
      </c>
      <c r="J174" t="s">
        <v>329</v>
      </c>
      <c r="K174" t="s">
        <v>336</v>
      </c>
    </row>
    <row r="175" spans="1:11" ht="14.4">
      <c r="A175" s="22" t="str">
        <f>F175&amp;(COUNTIFS(F$2:F175,F175,K$2:K175,"Sparse"))</f>
        <v>SD25</v>
      </c>
      <c r="B175" s="22" t="str">
        <f>J175&amp;(COUNTIF(J$2:J175,J175))</f>
        <v>West Sussex6</v>
      </c>
      <c r="C175" t="s">
        <v>104</v>
      </c>
      <c r="D175" t="s">
        <v>104</v>
      </c>
      <c r="E175" s="25" t="s">
        <v>0</v>
      </c>
      <c r="F175" s="25" t="s">
        <v>382</v>
      </c>
      <c r="G175" s="25" t="s">
        <v>5</v>
      </c>
      <c r="H175" s="26" t="s">
        <v>894</v>
      </c>
      <c r="I175" s="27" t="s">
        <v>385</v>
      </c>
      <c r="J175" t="s">
        <v>332</v>
      </c>
    </row>
    <row r="176" spans="1:11" ht="14.4">
      <c r="A176" s="22" t="str">
        <f>F176&amp;(COUNTIFS(F$2:F176,F176,K$2:K176,"Sparse"))</f>
        <v>UA6</v>
      </c>
      <c r="B176" s="22" t="str">
        <f>J176&amp;(COUNTIF(J$2:J176,J176))</f>
        <v>Unitary26</v>
      </c>
      <c r="C176" t="s">
        <v>275</v>
      </c>
      <c r="D176" t="s">
        <v>275</v>
      </c>
      <c r="E176" s="25" t="s">
        <v>391</v>
      </c>
      <c r="F176" s="25" t="s">
        <v>388</v>
      </c>
      <c r="G176" s="25" t="s">
        <v>397</v>
      </c>
      <c r="H176" s="26" t="s">
        <v>894</v>
      </c>
      <c r="I176" s="27" t="s">
        <v>385</v>
      </c>
      <c r="J176" s="3" t="s">
        <v>397</v>
      </c>
    </row>
    <row r="177" spans="1:11" ht="14.4">
      <c r="A177" s="22" t="str">
        <f>F177&amp;(COUNTIFS(F$2:F177,F177,K$2:K177,"Sparse"))</f>
        <v>UA6</v>
      </c>
      <c r="B177" s="22" t="str">
        <f>J177&amp;(COUNTIF(J$2:J177,J177))</f>
        <v>Unitary27</v>
      </c>
      <c r="C177" t="s">
        <v>276</v>
      </c>
      <c r="D177" t="s">
        <v>276</v>
      </c>
      <c r="E177" s="25" t="s">
        <v>0</v>
      </c>
      <c r="F177" s="25" t="s">
        <v>388</v>
      </c>
      <c r="G177" s="25" t="s">
        <v>397</v>
      </c>
      <c r="H177" s="26" t="s">
        <v>894</v>
      </c>
      <c r="I177" s="27" t="s">
        <v>385</v>
      </c>
      <c r="J177" s="3" t="s">
        <v>397</v>
      </c>
    </row>
    <row r="178" spans="1:11" ht="14.4">
      <c r="A178" s="22" t="str">
        <f>F178&amp;(COUNTIFS(F$2:F178,F178,K$2:K178,"Sparse"))</f>
        <v>SD25</v>
      </c>
      <c r="B178" s="22" t="str">
        <f>J178&amp;(COUNTIF(J$2:J178,J178))</f>
        <v>Surrey4</v>
      </c>
      <c r="C178" t="s">
        <v>105</v>
      </c>
      <c r="D178" t="s">
        <v>105</v>
      </c>
      <c r="E178" s="25" t="s">
        <v>0</v>
      </c>
      <c r="F178" s="25" t="s">
        <v>382</v>
      </c>
      <c r="G178" s="25" t="s">
        <v>5</v>
      </c>
      <c r="H178" s="26" t="s">
        <v>897</v>
      </c>
      <c r="I178" s="27" t="s">
        <v>372</v>
      </c>
      <c r="J178" t="s">
        <v>330</v>
      </c>
    </row>
    <row r="179" spans="1:11" ht="14.4">
      <c r="A179" s="22" t="str">
        <f>F179&amp;(COUNTIFS(F$2:F179,F179,K$2:K179,"Sparse"))</f>
        <v>SD26</v>
      </c>
      <c r="B179" s="22" t="str">
        <f>J179&amp;(COUNTIF(J$2:J179,J179))</f>
        <v>Hampshire9</v>
      </c>
      <c r="C179" t="s">
        <v>106</v>
      </c>
      <c r="D179" t="s">
        <v>106</v>
      </c>
      <c r="E179" s="25" t="s">
        <v>0</v>
      </c>
      <c r="F179" s="25" t="s">
        <v>382</v>
      </c>
      <c r="G179" s="25" t="s">
        <v>5</v>
      </c>
      <c r="H179" s="26" t="s">
        <v>897</v>
      </c>
      <c r="I179" s="27" t="s">
        <v>372</v>
      </c>
      <c r="J179" t="s">
        <v>314</v>
      </c>
      <c r="K179" t="s">
        <v>336</v>
      </c>
    </row>
    <row r="180" spans="1:11" ht="14.4">
      <c r="A180" s="22" t="str">
        <f>F180&amp;(COUNTIFS(F$2:F180,F180,K$2:K180,"Sparse"))</f>
        <v>SD26</v>
      </c>
      <c r="B180" s="22" t="str">
        <f>J180&amp;(COUNTIF(J$2:J180,J180))</f>
        <v>Nottinghamshire6</v>
      </c>
      <c r="C180" t="s">
        <v>347</v>
      </c>
      <c r="D180" t="s">
        <v>347</v>
      </c>
      <c r="E180" s="25" t="s">
        <v>368</v>
      </c>
      <c r="F180" s="25" t="s">
        <v>382</v>
      </c>
      <c r="G180" s="25" t="s">
        <v>5</v>
      </c>
      <c r="H180" s="26" t="s">
        <v>898</v>
      </c>
      <c r="I180" s="27" t="s">
        <v>383</v>
      </c>
      <c r="J180" t="s">
        <v>324</v>
      </c>
    </row>
    <row r="181" spans="1:11" ht="14.4">
      <c r="A181" s="22" t="str">
        <f>F181&amp;(COUNTIFS(F$2:F181,F181,K$2:K181,"Sparse"))</f>
        <v>MD0</v>
      </c>
      <c r="B181" s="22" t="str">
        <f>J181&amp;(COUNTIF(J$2:J181,J181))</f>
        <v>Newcastle upon Tyne1</v>
      </c>
      <c r="C181" t="s">
        <v>238</v>
      </c>
      <c r="D181" t="s">
        <v>238</v>
      </c>
      <c r="E181" s="25" t="s">
        <v>391</v>
      </c>
      <c r="F181" s="25" t="s">
        <v>387</v>
      </c>
      <c r="G181" s="25" t="s">
        <v>398</v>
      </c>
      <c r="H181" s="26" t="s">
        <v>899</v>
      </c>
      <c r="I181" s="27" t="s">
        <v>385</v>
      </c>
      <c r="J181" t="str">
        <f>C181</f>
        <v>Newcastle upon Tyne</v>
      </c>
    </row>
    <row r="182" spans="1:11" ht="14.4">
      <c r="A182" s="22" t="str">
        <f>F182&amp;(COUNTIFS(F$2:F182,F182,K$2:K182,"Sparse"))</f>
        <v>SD26</v>
      </c>
      <c r="B182" s="22" t="str">
        <f>J182&amp;(COUNTIF(J$2:J182,J182))</f>
        <v>Staffordshire4</v>
      </c>
      <c r="C182" t="s">
        <v>107</v>
      </c>
      <c r="D182" t="s">
        <v>107</v>
      </c>
      <c r="E182" s="25" t="s">
        <v>369</v>
      </c>
      <c r="F182" s="25" t="s">
        <v>382</v>
      </c>
      <c r="G182" s="25" t="s">
        <v>5</v>
      </c>
      <c r="H182" s="26" t="s">
        <v>894</v>
      </c>
      <c r="I182" s="27" t="s">
        <v>385</v>
      </c>
      <c r="J182" t="s">
        <v>328</v>
      </c>
    </row>
    <row r="183" spans="1:11" ht="14.4">
      <c r="A183" s="22" t="str">
        <f>F183&amp;(COUNTIFS(F$2:F183,F183,K$2:K183,"Sparse"))</f>
        <v>L0</v>
      </c>
      <c r="B183" s="22" t="str">
        <f>J183&amp;(COUNTIF(J$2:J183,J183))</f>
        <v>London25</v>
      </c>
      <c r="C183" t="s">
        <v>216</v>
      </c>
      <c r="D183" t="s">
        <v>216</v>
      </c>
      <c r="E183" s="25" t="s">
        <v>384</v>
      </c>
      <c r="F183" s="25" t="s">
        <v>360</v>
      </c>
      <c r="G183" s="25" t="s">
        <v>384</v>
      </c>
      <c r="H183" s="26" t="s">
        <v>899</v>
      </c>
      <c r="I183" s="27" t="s">
        <v>385</v>
      </c>
      <c r="J183" t="str">
        <f>G183</f>
        <v>London</v>
      </c>
    </row>
    <row r="184" spans="1:11" ht="14.4">
      <c r="A184" s="22" t="str">
        <f>F184&amp;(COUNTIFS(F$2:F184,F184,K$2:K184,"Sparse"))</f>
        <v>SC6</v>
      </c>
      <c r="B184" s="22" t="str">
        <f>J184&amp;(COUNTIF(J$2:J184,J184))</f>
        <v>Norfolk5</v>
      </c>
      <c r="C184" s="30" t="s">
        <v>320</v>
      </c>
      <c r="D184" s="30" t="s">
        <v>320</v>
      </c>
      <c r="E184" s="25" t="s">
        <v>370</v>
      </c>
      <c r="F184" s="25" t="s">
        <v>390</v>
      </c>
      <c r="G184" s="25" t="s">
        <v>302</v>
      </c>
      <c r="H184" s="30" t="s">
        <v>383</v>
      </c>
      <c r="I184" s="27" t="s">
        <v>383</v>
      </c>
      <c r="J184" t="str">
        <f>C184</f>
        <v>Norfolk</v>
      </c>
      <c r="K184" t="s">
        <v>336</v>
      </c>
    </row>
    <row r="185" spans="1:11" ht="14.4">
      <c r="A185" s="22" t="str">
        <f>F185&amp;(COUNTIFS(F$2:F185,F185,K$2:K185,"Sparse"))</f>
        <v>SD27</v>
      </c>
      <c r="B185" s="22" t="str">
        <f>J185&amp;(COUNTIF(J$2:J185,J185))</f>
        <v>Devon5</v>
      </c>
      <c r="C185" t="s">
        <v>108</v>
      </c>
      <c r="D185" t="s">
        <v>108</v>
      </c>
      <c r="E185" s="25" t="s">
        <v>1</v>
      </c>
      <c r="F185" s="25" t="s">
        <v>382</v>
      </c>
      <c r="G185" s="25" t="s">
        <v>5</v>
      </c>
      <c r="H185" s="26" t="s">
        <v>898</v>
      </c>
      <c r="I185" s="27" t="s">
        <v>383</v>
      </c>
      <c r="J185" t="s">
        <v>309</v>
      </c>
      <c r="K185" t="s">
        <v>336</v>
      </c>
    </row>
    <row r="186" spans="1:11" ht="14.4">
      <c r="A186" s="22" t="str">
        <f>F186&amp;(COUNTIFS(F$2:F186,F186,K$2:K186,"Sparse"))</f>
        <v>SD27</v>
      </c>
      <c r="B186" s="22" t="str">
        <f>J186&amp;(COUNTIF(J$2:J186,J186))</f>
        <v>Derbyshire8</v>
      </c>
      <c r="C186" t="s">
        <v>110</v>
      </c>
      <c r="D186" t="s">
        <v>110</v>
      </c>
      <c r="E186" s="25" t="s">
        <v>368</v>
      </c>
      <c r="F186" s="25" t="s">
        <v>382</v>
      </c>
      <c r="G186" s="25" t="s">
        <v>5</v>
      </c>
      <c r="H186" s="26" t="s">
        <v>894</v>
      </c>
      <c r="I186" s="27" t="s">
        <v>385</v>
      </c>
      <c r="J186" t="s">
        <v>308</v>
      </c>
    </row>
    <row r="187" spans="1:11" ht="14.4">
      <c r="A187" s="22" t="str">
        <f>F187&amp;(COUNTIFS(F$2:F187,F187,K$2:K187,"Sparse"))</f>
        <v>UA6</v>
      </c>
      <c r="B187" s="22" t="str">
        <f>J187&amp;(COUNTIF(J$2:J187,J187))</f>
        <v>Unitary28</v>
      </c>
      <c r="C187" t="s">
        <v>277</v>
      </c>
      <c r="D187" t="s">
        <v>277</v>
      </c>
      <c r="E187" s="25" t="s">
        <v>386</v>
      </c>
      <c r="F187" s="25" t="s">
        <v>388</v>
      </c>
      <c r="G187" s="25" t="s">
        <v>397</v>
      </c>
      <c r="H187" s="26" t="s">
        <v>894</v>
      </c>
      <c r="I187" s="27" t="s">
        <v>385</v>
      </c>
      <c r="J187" s="3" t="s">
        <v>397</v>
      </c>
    </row>
    <row r="188" spans="1:11" ht="14.4">
      <c r="A188" s="22" t="str">
        <f>F188&amp;(COUNTIFS(F$2:F188,F188,K$2:K188,"Sparse"))</f>
        <v>SD27</v>
      </c>
      <c r="B188" s="22" t="str">
        <f>J188&amp;(COUNTIF(J$2:J188,J188))</f>
        <v>Hertfordshire6</v>
      </c>
      <c r="C188" t="s">
        <v>111</v>
      </c>
      <c r="D188" t="s">
        <v>111</v>
      </c>
      <c r="E188" s="25" t="s">
        <v>370</v>
      </c>
      <c r="F188" s="25" t="s">
        <v>382</v>
      </c>
      <c r="G188" s="25" t="s">
        <v>5</v>
      </c>
      <c r="H188" s="26" t="s">
        <v>897</v>
      </c>
      <c r="I188" s="27" t="s">
        <v>372</v>
      </c>
      <c r="J188" t="s">
        <v>315</v>
      </c>
    </row>
    <row r="189" spans="1:11" ht="14.4">
      <c r="A189" s="22" t="str">
        <f>F189&amp;(COUNTIFS(F$2:F189,F189,K$2:K189,"Sparse"))</f>
        <v>SD28</v>
      </c>
      <c r="B189" s="22" t="str">
        <f>J189&amp;(COUNTIF(J$2:J189,J189))</f>
        <v>Lincolnshire5</v>
      </c>
      <c r="C189" t="s">
        <v>112</v>
      </c>
      <c r="D189" t="s">
        <v>112</v>
      </c>
      <c r="E189" s="25" t="s">
        <v>368</v>
      </c>
      <c r="F189" s="25" t="s">
        <v>382</v>
      </c>
      <c r="G189" s="25" t="s">
        <v>5</v>
      </c>
      <c r="H189" s="26" t="s">
        <v>895</v>
      </c>
      <c r="I189" s="27" t="s">
        <v>383</v>
      </c>
      <c r="J189" t="s">
        <v>319</v>
      </c>
      <c r="K189" t="s">
        <v>336</v>
      </c>
    </row>
    <row r="190" spans="1:11" ht="14.4">
      <c r="A190" s="22" t="str">
        <f>F190&amp;(COUNTIFS(F$2:F190,F190,K$2:K190,"Sparse"))</f>
        <v>UA7</v>
      </c>
      <c r="B190" s="22" t="str">
        <f>J190&amp;(COUNTIF(J$2:J190,J190))</f>
        <v>Unitary29</v>
      </c>
      <c r="C190" t="s">
        <v>278</v>
      </c>
      <c r="D190" t="s">
        <v>278</v>
      </c>
      <c r="E190" s="25" t="s">
        <v>386</v>
      </c>
      <c r="F190" s="25" t="s">
        <v>388</v>
      </c>
      <c r="G190" s="25" t="s">
        <v>397</v>
      </c>
      <c r="H190" s="26" t="s">
        <v>897</v>
      </c>
      <c r="I190" s="27" t="s">
        <v>372</v>
      </c>
      <c r="J190" s="3" t="s">
        <v>397</v>
      </c>
      <c r="K190" t="s">
        <v>336</v>
      </c>
    </row>
    <row r="191" spans="1:11" ht="14.4">
      <c r="A191" s="22" t="str">
        <f>F191&amp;(COUNTIFS(F$2:F191,F191,K$2:K191,"Sparse"))</f>
        <v>SD29</v>
      </c>
      <c r="B191" s="22" t="str">
        <f>J191&amp;(COUNTIF(J$2:J191,J191))</f>
        <v>Norfolk6</v>
      </c>
      <c r="C191" t="s">
        <v>113</v>
      </c>
      <c r="D191" t="s">
        <v>113</v>
      </c>
      <c r="E191" s="25" t="s">
        <v>370</v>
      </c>
      <c r="F191" s="25" t="s">
        <v>382</v>
      </c>
      <c r="G191" s="25" t="s">
        <v>5</v>
      </c>
      <c r="H191" s="26" t="s">
        <v>895</v>
      </c>
      <c r="I191" s="27" t="s">
        <v>383</v>
      </c>
      <c r="J191" s="3" t="s">
        <v>320</v>
      </c>
      <c r="K191" t="s">
        <v>336</v>
      </c>
    </row>
    <row r="192" spans="1:11" ht="14.4">
      <c r="A192" s="22" t="str">
        <f>F192&amp;(COUNTIFS(F$2:F192,F192,K$2:K192,"Sparse"))</f>
        <v>UA7</v>
      </c>
      <c r="B192" s="22" t="str">
        <f>J192&amp;(COUNTIF(J$2:J192,J192))</f>
        <v>Unitary30</v>
      </c>
      <c r="C192" t="s">
        <v>904</v>
      </c>
      <c r="D192" t="s">
        <v>904</v>
      </c>
      <c r="E192" s="25" t="s">
        <v>368</v>
      </c>
      <c r="F192" s="25" t="s">
        <v>388</v>
      </c>
      <c r="G192" s="25" t="s">
        <v>397</v>
      </c>
      <c r="H192" s="26" t="s">
        <v>909</v>
      </c>
      <c r="I192" s="27" t="s">
        <v>909</v>
      </c>
      <c r="J192" s="3" t="s">
        <v>397</v>
      </c>
    </row>
    <row r="193" spans="1:11" ht="14.4">
      <c r="A193" s="22" t="str">
        <f>F193&amp;(COUNTIFS(F$2:F193,F193,K$2:K193,"Sparse"))</f>
        <v>UA8</v>
      </c>
      <c r="B193" s="22" t="str">
        <f>J193&amp;(COUNTIF(J$2:J193,J193))</f>
        <v>Unitary31</v>
      </c>
      <c r="C193" t="s">
        <v>279</v>
      </c>
      <c r="D193" t="s">
        <v>279</v>
      </c>
      <c r="E193" s="25" t="s">
        <v>1</v>
      </c>
      <c r="F193" s="25" t="s">
        <v>388</v>
      </c>
      <c r="G193" s="25" t="s">
        <v>397</v>
      </c>
      <c r="H193" s="26" t="s">
        <v>897</v>
      </c>
      <c r="I193" s="27" t="s">
        <v>372</v>
      </c>
      <c r="J193" s="3" t="s">
        <v>397</v>
      </c>
      <c r="K193" t="s">
        <v>336</v>
      </c>
    </row>
    <row r="194" spans="1:11" ht="14.4">
      <c r="A194" s="22" t="str">
        <f>F194&amp;(COUNTIFS(F$2:F194,F194,K$2:K194,"Sparse"))</f>
        <v>MD0</v>
      </c>
      <c r="B194" s="22" t="str">
        <f>J194&amp;(COUNTIF(J$2:J194,J194))</f>
        <v>North Tyneside1</v>
      </c>
      <c r="C194" t="s">
        <v>239</v>
      </c>
      <c r="D194" t="s">
        <v>239</v>
      </c>
      <c r="E194" s="25" t="s">
        <v>391</v>
      </c>
      <c r="F194" s="25" t="s">
        <v>387</v>
      </c>
      <c r="G194" s="25" t="s">
        <v>398</v>
      </c>
      <c r="H194" s="26" t="s">
        <v>899</v>
      </c>
      <c r="I194" s="27" t="s">
        <v>385</v>
      </c>
      <c r="J194" t="str">
        <f>C194</f>
        <v>North Tyneside</v>
      </c>
    </row>
    <row r="195" spans="1:11" ht="14.4">
      <c r="A195" s="22" t="str">
        <f>F195&amp;(COUNTIFS(F$2:F195,F195,K$2:K195,"Sparse"))</f>
        <v>SD29</v>
      </c>
      <c r="B195" s="22" t="str">
        <f>J195&amp;(COUNTIF(J$2:J195,J195))</f>
        <v>Warwickshire1</v>
      </c>
      <c r="C195" t="s">
        <v>114</v>
      </c>
      <c r="D195" t="s">
        <v>114</v>
      </c>
      <c r="E195" s="25" t="s">
        <v>369</v>
      </c>
      <c r="F195" s="25" t="s">
        <v>382</v>
      </c>
      <c r="G195" s="25" t="s">
        <v>5</v>
      </c>
      <c r="H195" s="26" t="s">
        <v>895</v>
      </c>
      <c r="I195" s="27" t="s">
        <v>383</v>
      </c>
      <c r="J195" t="s">
        <v>331</v>
      </c>
    </row>
    <row r="196" spans="1:11" ht="14.4">
      <c r="A196" s="22" t="str">
        <f>F196&amp;(COUNTIFS(F$2:F196,F196,K$2:K196,"Sparse"))</f>
        <v>SD29</v>
      </c>
      <c r="B196" s="22" t="str">
        <f>J196&amp;(COUNTIF(J$2:J196,J196))</f>
        <v>Leicestershire7</v>
      </c>
      <c r="C196" t="s">
        <v>115</v>
      </c>
      <c r="D196" t="s">
        <v>115</v>
      </c>
      <c r="E196" s="25" t="s">
        <v>368</v>
      </c>
      <c r="F196" s="25" t="s">
        <v>382</v>
      </c>
      <c r="G196" s="25" t="s">
        <v>5</v>
      </c>
      <c r="H196" s="26" t="s">
        <v>898</v>
      </c>
      <c r="I196" s="27" t="s">
        <v>383</v>
      </c>
      <c r="J196" t="s">
        <v>318</v>
      </c>
    </row>
    <row r="197" spans="1:11" ht="14.4">
      <c r="A197" s="22" t="str">
        <f>F197&amp;(COUNTIFS(F$2:F197,F197,K$2:K197,"Sparse"))</f>
        <v>SC7</v>
      </c>
      <c r="B197" s="22" t="str">
        <f>J197&amp;(COUNTIF(J$2:J197,J197))</f>
        <v>North Yorkshire4</v>
      </c>
      <c r="C197" s="27" t="s">
        <v>321</v>
      </c>
      <c r="D197" s="27" t="s">
        <v>321</v>
      </c>
      <c r="E197" s="25" t="s">
        <v>386</v>
      </c>
      <c r="F197" s="25" t="s">
        <v>390</v>
      </c>
      <c r="G197" s="25" t="s">
        <v>302</v>
      </c>
      <c r="H197" s="27" t="s">
        <v>383</v>
      </c>
      <c r="I197" s="27" t="s">
        <v>383</v>
      </c>
      <c r="J197" t="str">
        <f>C197</f>
        <v>North Yorkshire</v>
      </c>
      <c r="K197" t="s">
        <v>336</v>
      </c>
    </row>
    <row r="198" spans="1:11" ht="14.4">
      <c r="A198" s="22" t="str">
        <f>F198&amp;(COUNTIFS(F$2:F198,F198,K$2:K198,"Sparse"))</f>
        <v>UA9</v>
      </c>
      <c r="B198" s="22" t="str">
        <f>J198&amp;(COUNTIF(J$2:J198,J198))</f>
        <v>Unitary32</v>
      </c>
      <c r="C198" t="s">
        <v>323</v>
      </c>
      <c r="D198" t="s">
        <v>323</v>
      </c>
      <c r="E198" s="25" t="s">
        <v>391</v>
      </c>
      <c r="F198" s="25" t="s">
        <v>388</v>
      </c>
      <c r="G198" s="25" t="s">
        <v>397</v>
      </c>
      <c r="H198" s="26" t="s">
        <v>898</v>
      </c>
      <c r="I198" s="27" t="s">
        <v>383</v>
      </c>
      <c r="J198" s="3" t="s">
        <v>397</v>
      </c>
      <c r="K198" t="s">
        <v>336</v>
      </c>
    </row>
    <row r="199" spans="1:11" ht="14.4">
      <c r="A199" s="22" t="str">
        <f>F199&amp;(COUNTIFS(F$2:F199,F199,K$2:K199,"Sparse"))</f>
        <v>SD29</v>
      </c>
      <c r="B199" s="22" t="str">
        <f>J199&amp;(COUNTIF(J$2:J199,J199))</f>
        <v>Norfolk7</v>
      </c>
      <c r="C199" t="s">
        <v>117</v>
      </c>
      <c r="D199" t="s">
        <v>117</v>
      </c>
      <c r="E199" s="25" t="s">
        <v>370</v>
      </c>
      <c r="F199" s="25" t="s">
        <v>382</v>
      </c>
      <c r="G199" s="25" t="s">
        <v>5</v>
      </c>
      <c r="H199" s="26" t="s">
        <v>894</v>
      </c>
      <c r="I199" s="27" t="s">
        <v>385</v>
      </c>
      <c r="J199" t="s">
        <v>320</v>
      </c>
    </row>
    <row r="200" spans="1:11" ht="14.4">
      <c r="A200" s="22" t="str">
        <f>F200&amp;(COUNTIFS(F$2:F200,F200,K$2:K200,"Sparse"))</f>
        <v>UA9</v>
      </c>
      <c r="B200" s="22" t="str">
        <f>J200&amp;(COUNTIF(J$2:J200,J200))</f>
        <v>Unitary33</v>
      </c>
      <c r="C200" t="s">
        <v>280</v>
      </c>
      <c r="D200" t="s">
        <v>280</v>
      </c>
      <c r="E200" s="25" t="s">
        <v>368</v>
      </c>
      <c r="F200" s="25" t="s">
        <v>388</v>
      </c>
      <c r="G200" s="25" t="s">
        <v>397</v>
      </c>
      <c r="H200" s="26" t="s">
        <v>896</v>
      </c>
      <c r="I200" s="27" t="s">
        <v>385</v>
      </c>
      <c r="J200" s="3" t="s">
        <v>397</v>
      </c>
    </row>
    <row r="201" spans="1:11" ht="14.4">
      <c r="A201" s="22" t="str">
        <f>F201&amp;(COUNTIFS(F$2:F201,F201,K$2:K201,"Sparse"))</f>
        <v>SC8</v>
      </c>
      <c r="B201" s="22" t="str">
        <f>J201&amp;(COUNTIF(J$2:J201,J201))</f>
        <v>Nottinghamshire7</v>
      </c>
      <c r="C201" s="27" t="s">
        <v>324</v>
      </c>
      <c r="D201" s="27" t="s">
        <v>324</v>
      </c>
      <c r="E201" s="25" t="s">
        <v>368</v>
      </c>
      <c r="F201" s="25" t="s">
        <v>390</v>
      </c>
      <c r="G201" s="25" t="s">
        <v>302</v>
      </c>
      <c r="H201" s="27" t="s">
        <v>372</v>
      </c>
      <c r="I201" s="27" t="s">
        <v>372</v>
      </c>
      <c r="J201" t="str">
        <f>C201</f>
        <v>Nottinghamshire</v>
      </c>
      <c r="K201" t="s">
        <v>336</v>
      </c>
    </row>
    <row r="202" spans="1:11" ht="14.4">
      <c r="A202" s="22" t="str">
        <f>F202&amp;(COUNTIFS(F$2:F202,F202,K$2:K202,"Sparse"))</f>
        <v>SD29</v>
      </c>
      <c r="B202" s="22" t="str">
        <f>J202&amp;(COUNTIF(J$2:J202,J202))</f>
        <v>Warwickshire2</v>
      </c>
      <c r="C202" t="s">
        <v>348</v>
      </c>
      <c r="D202" t="s">
        <v>348</v>
      </c>
      <c r="E202" s="25" t="s">
        <v>369</v>
      </c>
      <c r="F202" s="25" t="s">
        <v>382</v>
      </c>
      <c r="G202" s="25" t="s">
        <v>5</v>
      </c>
      <c r="H202" s="26" t="s">
        <v>894</v>
      </c>
      <c r="I202" s="27" t="s">
        <v>385</v>
      </c>
      <c r="J202" t="s">
        <v>331</v>
      </c>
    </row>
    <row r="203" spans="1:11" ht="14.4">
      <c r="A203" s="22" t="str">
        <f>F203&amp;(COUNTIFS(F$2:F203,F203,K$2:K203,"Sparse"))</f>
        <v>SD29</v>
      </c>
      <c r="B203" s="22" t="str">
        <f>J203&amp;(COUNTIF(J$2:J203,J203))</f>
        <v>Leicestershire8</v>
      </c>
      <c r="C203" t="s">
        <v>349</v>
      </c>
      <c r="D203" t="s">
        <v>349</v>
      </c>
      <c r="E203" s="25" t="s">
        <v>368</v>
      </c>
      <c r="F203" s="25" t="s">
        <v>382</v>
      </c>
      <c r="G203" s="25" t="s">
        <v>5</v>
      </c>
      <c r="H203" s="26" t="s">
        <v>894</v>
      </c>
      <c r="I203" s="27" t="s">
        <v>385</v>
      </c>
      <c r="J203" t="s">
        <v>318</v>
      </c>
    </row>
    <row r="204" spans="1:11" ht="14.4">
      <c r="A204" s="22" t="str">
        <f>F204&amp;(COUNTIFS(F$2:F204,F204,K$2:K204,"Sparse"))</f>
        <v>MD0</v>
      </c>
      <c r="B204" s="22" t="str">
        <f>J204&amp;(COUNTIF(J$2:J204,J204))</f>
        <v>Oldham1</v>
      </c>
      <c r="C204" t="s">
        <v>240</v>
      </c>
      <c r="D204" t="s">
        <v>240</v>
      </c>
      <c r="E204" s="25" t="s">
        <v>377</v>
      </c>
      <c r="F204" s="25" t="s">
        <v>387</v>
      </c>
      <c r="G204" s="25" t="s">
        <v>398</v>
      </c>
      <c r="H204" s="26" t="s">
        <v>899</v>
      </c>
      <c r="I204" s="27" t="s">
        <v>385</v>
      </c>
      <c r="J204" t="str">
        <f>C204</f>
        <v>Oldham</v>
      </c>
    </row>
    <row r="205" spans="1:11" ht="14.4">
      <c r="A205" s="22" t="str">
        <f>F205&amp;(COUNTIFS(F$2:F205,F205,K$2:K205,"Sparse"))</f>
        <v>SD29</v>
      </c>
      <c r="B205" s="22" t="str">
        <f>J205&amp;(COUNTIF(J$2:J205,J205))</f>
        <v>Oxfordshire2</v>
      </c>
      <c r="C205" t="s">
        <v>118</v>
      </c>
      <c r="D205" t="s">
        <v>118</v>
      </c>
      <c r="E205" s="25" t="s">
        <v>0</v>
      </c>
      <c r="F205" s="25" t="s">
        <v>382</v>
      </c>
      <c r="G205" s="25" t="s">
        <v>5</v>
      </c>
      <c r="H205" s="26" t="s">
        <v>894</v>
      </c>
      <c r="I205" s="27" t="s">
        <v>385</v>
      </c>
      <c r="J205" t="s">
        <v>325</v>
      </c>
    </row>
    <row r="206" spans="1:11" ht="14.4">
      <c r="A206" s="22" t="str">
        <f>F206&amp;(COUNTIFS(F$2:F206,F206,K$2:K206,"Sparse"))</f>
        <v>SC8</v>
      </c>
      <c r="B206" s="22" t="str">
        <f>J206&amp;(COUNTIF(J$2:J206,J206))</f>
        <v>Oxfordshire3</v>
      </c>
      <c r="C206" s="27" t="s">
        <v>325</v>
      </c>
      <c r="D206" s="27" t="s">
        <v>325</v>
      </c>
      <c r="E206" s="25" t="s">
        <v>0</v>
      </c>
      <c r="F206" s="25" t="s">
        <v>390</v>
      </c>
      <c r="G206" s="25" t="s">
        <v>302</v>
      </c>
      <c r="H206" s="27" t="s">
        <v>383</v>
      </c>
      <c r="I206" s="27" t="s">
        <v>383</v>
      </c>
      <c r="J206" t="str">
        <f>C206</f>
        <v>Oxfordshire</v>
      </c>
    </row>
    <row r="207" spans="1:11" ht="14.4">
      <c r="A207" s="22" t="str">
        <f>F207&amp;(COUNTIFS(F$2:F207,F207,K$2:K207,"Sparse"))</f>
        <v>SD29</v>
      </c>
      <c r="B207" s="22" t="str">
        <f>J207&amp;(COUNTIF(J$2:J207,J207))</f>
        <v>Lancashire7</v>
      </c>
      <c r="C207" t="s">
        <v>119</v>
      </c>
      <c r="D207" t="s">
        <v>119</v>
      </c>
      <c r="E207" s="25" t="s">
        <v>377</v>
      </c>
      <c r="F207" s="25" t="s">
        <v>382</v>
      </c>
      <c r="G207" s="25" t="s">
        <v>5</v>
      </c>
      <c r="H207" s="26" t="s">
        <v>894</v>
      </c>
      <c r="I207" s="27" t="s">
        <v>385</v>
      </c>
      <c r="J207" t="s">
        <v>317</v>
      </c>
    </row>
    <row r="208" spans="1:11" ht="14.4">
      <c r="A208" s="22" t="str">
        <f>F208&amp;(COUNTIFS(F$2:F208,F208,K$2:K208,"Sparse"))</f>
        <v>UA9</v>
      </c>
      <c r="B208" s="22" t="str">
        <f>J208&amp;(COUNTIF(J$2:J208,J208))</f>
        <v>Unitary34</v>
      </c>
      <c r="C208" t="s">
        <v>281</v>
      </c>
      <c r="D208" t="s">
        <v>281</v>
      </c>
      <c r="E208" s="25" t="s">
        <v>370</v>
      </c>
      <c r="F208" s="25" t="s">
        <v>388</v>
      </c>
      <c r="G208" s="25" t="s">
        <v>397</v>
      </c>
      <c r="H208" s="26" t="s">
        <v>894</v>
      </c>
      <c r="I208" s="27" t="s">
        <v>385</v>
      </c>
      <c r="J208" s="3" t="s">
        <v>397</v>
      </c>
    </row>
    <row r="209" spans="1:11" ht="14.4">
      <c r="A209" s="22" t="str">
        <f>F209&amp;(COUNTIFS(F$2:F209,F209,K$2:K209,"Sparse"))</f>
        <v>UA9</v>
      </c>
      <c r="B209" s="22" t="str">
        <f>J209&amp;(COUNTIF(J$2:J209,J209))</f>
        <v>Unitary35</v>
      </c>
      <c r="C209" t="s">
        <v>282</v>
      </c>
      <c r="D209" t="s">
        <v>282</v>
      </c>
      <c r="E209" s="25" t="s">
        <v>1</v>
      </c>
      <c r="F209" s="25" t="s">
        <v>388</v>
      </c>
      <c r="G209" s="25" t="s">
        <v>397</v>
      </c>
      <c r="H209" s="26" t="s">
        <v>894</v>
      </c>
      <c r="I209" s="27" t="s">
        <v>385</v>
      </c>
      <c r="J209" s="3" t="s">
        <v>397</v>
      </c>
    </row>
    <row r="210" spans="1:11" ht="14.4">
      <c r="A210" s="22" t="str">
        <f>F210&amp;(COUNTIFS(F$2:F210,F210,K$2:K210,"Sparse"))</f>
        <v>UA9</v>
      </c>
      <c r="B210" s="22" t="str">
        <f>J210&amp;(COUNTIF(J$2:J210,J210))</f>
        <v>Unitary36</v>
      </c>
      <c r="C210" t="s">
        <v>284</v>
      </c>
      <c r="D210" t="s">
        <v>284</v>
      </c>
      <c r="E210" s="25" t="s">
        <v>0</v>
      </c>
      <c r="F210" s="25" t="s">
        <v>388</v>
      </c>
      <c r="G210" s="25" t="s">
        <v>397</v>
      </c>
      <c r="H210" s="26" t="s">
        <v>894</v>
      </c>
      <c r="I210" s="27" t="s">
        <v>385</v>
      </c>
      <c r="J210" s="3" t="s">
        <v>397</v>
      </c>
    </row>
    <row r="211" spans="1:11" ht="14.4">
      <c r="A211" s="22" t="str">
        <f>F211&amp;(COUNTIFS(F$2:F211,F211,K$2:K211,"Sparse"))</f>
        <v>SD29</v>
      </c>
      <c r="B211" s="22" t="str">
        <f>J211&amp;(COUNTIF(J$2:J211,J211))</f>
        <v>Lancashire8</v>
      </c>
      <c r="C211" t="s">
        <v>120</v>
      </c>
      <c r="D211" t="s">
        <v>120</v>
      </c>
      <c r="E211" s="25" t="s">
        <v>377</v>
      </c>
      <c r="F211" s="25" t="s">
        <v>382</v>
      </c>
      <c r="G211" s="25" t="s">
        <v>5</v>
      </c>
      <c r="H211" s="26" t="s">
        <v>894</v>
      </c>
      <c r="I211" s="27" t="s">
        <v>385</v>
      </c>
      <c r="J211" t="s">
        <v>317</v>
      </c>
    </row>
    <row r="212" spans="1:11" ht="14.4">
      <c r="A212" s="22" t="str">
        <f>F212&amp;(COUNTIFS(F$2:F212,F212,K$2:K212,"Sparse"))</f>
        <v>UA9</v>
      </c>
      <c r="B212" s="22" t="str">
        <f>J212&amp;(COUNTIF(J$2:J212,J212))</f>
        <v>Unitary37</v>
      </c>
      <c r="C212" t="s">
        <v>285</v>
      </c>
      <c r="D212" t="s">
        <v>285</v>
      </c>
      <c r="E212" s="25" t="s">
        <v>0</v>
      </c>
      <c r="F212" s="25" t="s">
        <v>388</v>
      </c>
      <c r="G212" s="25" t="s">
        <v>397</v>
      </c>
      <c r="H212" s="26" t="s">
        <v>894</v>
      </c>
      <c r="I212" s="27" t="s">
        <v>385</v>
      </c>
      <c r="J212" s="3" t="s">
        <v>397</v>
      </c>
    </row>
    <row r="213" spans="1:11" ht="14.4">
      <c r="A213" s="22" t="str">
        <f>F213&amp;(COUNTIFS(F$2:F213,F213,K$2:K213,"Sparse"))</f>
        <v>L0</v>
      </c>
      <c r="B213" s="22" t="str">
        <f>J213&amp;(COUNTIF(J$2:J213,J213))</f>
        <v>London26</v>
      </c>
      <c r="C213" t="s">
        <v>217</v>
      </c>
      <c r="D213" t="s">
        <v>217</v>
      </c>
      <c r="E213" s="25" t="s">
        <v>384</v>
      </c>
      <c r="F213" s="25" t="s">
        <v>360</v>
      </c>
      <c r="G213" s="25" t="s">
        <v>384</v>
      </c>
      <c r="H213" s="26" t="s">
        <v>899</v>
      </c>
      <c r="I213" s="27" t="s">
        <v>385</v>
      </c>
      <c r="J213" t="str">
        <f>G213</f>
        <v>London</v>
      </c>
    </row>
    <row r="214" spans="1:11" ht="14.4">
      <c r="A214" s="22" t="str">
        <f>F214&amp;(COUNTIFS(F$2:F214,F214,K$2:K214,"Sparse"))</f>
        <v>UA9</v>
      </c>
      <c r="B214" s="22" t="str">
        <f>J214&amp;(COUNTIF(J$2:J214,J214))</f>
        <v>Unitary38</v>
      </c>
      <c r="C214" t="s">
        <v>811</v>
      </c>
      <c r="D214" t="s">
        <v>811</v>
      </c>
      <c r="E214" s="25" t="s">
        <v>391</v>
      </c>
      <c r="F214" s="25" t="s">
        <v>388</v>
      </c>
      <c r="G214" s="25" t="s">
        <v>397</v>
      </c>
      <c r="H214" s="26" t="s">
        <v>897</v>
      </c>
      <c r="I214" s="27" t="s">
        <v>372</v>
      </c>
      <c r="J214" s="3" t="s">
        <v>397</v>
      </c>
    </row>
    <row r="215" spans="1:11" ht="14.4">
      <c r="A215" s="22" t="str">
        <f>F215&amp;(COUNTIFS(F$2:F215,F215,K$2:K215,"Sparse"))</f>
        <v>SD29</v>
      </c>
      <c r="B215" s="22" t="str">
        <f>J215&amp;(COUNTIF(J$2:J215,J215))</f>
        <v>Worcestershire3</v>
      </c>
      <c r="C215" t="s">
        <v>122</v>
      </c>
      <c r="D215" t="s">
        <v>122</v>
      </c>
      <c r="E215" s="25" t="s">
        <v>369</v>
      </c>
      <c r="F215" s="25" t="s">
        <v>382</v>
      </c>
      <c r="G215" s="25" t="s">
        <v>5</v>
      </c>
      <c r="H215" s="26" t="s">
        <v>894</v>
      </c>
      <c r="I215" s="27" t="s">
        <v>385</v>
      </c>
      <c r="J215" t="s">
        <v>333</v>
      </c>
    </row>
    <row r="216" spans="1:11" ht="14.4">
      <c r="A216" s="22" t="str">
        <f>F216&amp;(COUNTIFS(F$2:F216,F216,K$2:K216,"Sparse"))</f>
        <v>SD29</v>
      </c>
      <c r="B216" s="22" t="str">
        <f>J216&amp;(COUNTIF(J$2:J216,J216))</f>
        <v>Surrey5</v>
      </c>
      <c r="C216" t="s">
        <v>350</v>
      </c>
      <c r="D216" t="s">
        <v>350</v>
      </c>
      <c r="E216" s="25" t="s">
        <v>0</v>
      </c>
      <c r="F216" s="25" t="s">
        <v>382</v>
      </c>
      <c r="G216" s="25" t="s">
        <v>5</v>
      </c>
      <c r="H216" s="26" t="s">
        <v>894</v>
      </c>
      <c r="I216" s="27" t="s">
        <v>385</v>
      </c>
      <c r="J216" t="s">
        <v>330</v>
      </c>
    </row>
    <row r="217" spans="1:11" ht="14.4">
      <c r="A217" s="22" t="str">
        <f>F217&amp;(COUNTIFS(F$2:F217,F217,K$2:K217,"Sparse"))</f>
        <v>SD30</v>
      </c>
      <c r="B217" s="22" t="str">
        <f>J217&amp;(COUNTIF(J$2:J217,J217))</f>
        <v>Lancashire9</v>
      </c>
      <c r="C217" t="s">
        <v>123</v>
      </c>
      <c r="D217" t="s">
        <v>123</v>
      </c>
      <c r="E217" s="25" t="s">
        <v>377</v>
      </c>
      <c r="F217" s="25" t="s">
        <v>382</v>
      </c>
      <c r="G217" s="25" t="s">
        <v>5</v>
      </c>
      <c r="H217" s="26" t="s">
        <v>895</v>
      </c>
      <c r="I217" s="27" t="s">
        <v>383</v>
      </c>
      <c r="J217" t="s">
        <v>317</v>
      </c>
      <c r="K217" t="s">
        <v>336</v>
      </c>
    </row>
    <row r="218" spans="1:11" ht="14.4">
      <c r="A218" s="22" t="str">
        <f>F218&amp;(COUNTIFS(F$2:F218,F218,K$2:K218,"Sparse"))</f>
        <v>L0</v>
      </c>
      <c r="B218" s="22" t="str">
        <f>J218&amp;(COUNTIF(J$2:J218,J218))</f>
        <v>London27</v>
      </c>
      <c r="C218" t="s">
        <v>395</v>
      </c>
      <c r="D218" t="s">
        <v>395</v>
      </c>
      <c r="E218" s="25" t="s">
        <v>384</v>
      </c>
      <c r="F218" s="25" t="s">
        <v>360</v>
      </c>
      <c r="G218" s="25" t="s">
        <v>384</v>
      </c>
      <c r="H218" s="26" t="s">
        <v>899</v>
      </c>
      <c r="I218" s="27" t="s">
        <v>385</v>
      </c>
      <c r="J218" t="str">
        <f>G218</f>
        <v>London</v>
      </c>
    </row>
    <row r="219" spans="1:11" ht="14.4">
      <c r="A219" s="22" t="str">
        <f>F219&amp;(COUNTIFS(F$2:F219,F219,K$2:K219,"Sparse"))</f>
        <v>SD31</v>
      </c>
      <c r="B219" s="22" t="str">
        <f>J219&amp;(COUNTIF(J$2:J219,J219))</f>
        <v>North Yorkshire5</v>
      </c>
      <c r="C219" t="s">
        <v>124</v>
      </c>
      <c r="D219" t="s">
        <v>124</v>
      </c>
      <c r="E219" s="25" t="s">
        <v>386</v>
      </c>
      <c r="F219" s="25" t="s">
        <v>382</v>
      </c>
      <c r="G219" s="25" t="s">
        <v>5</v>
      </c>
      <c r="H219" s="26" t="s">
        <v>895</v>
      </c>
      <c r="I219" s="27" t="s">
        <v>383</v>
      </c>
      <c r="J219" t="s">
        <v>321</v>
      </c>
      <c r="K219" t="s">
        <v>336</v>
      </c>
    </row>
    <row r="220" spans="1:11" ht="14.4">
      <c r="A220" s="22" t="str">
        <f>F220&amp;(COUNTIFS(F$2:F220,F220,K$2:K220,"Sparse"))</f>
        <v>MD0</v>
      </c>
      <c r="B220" s="22" t="str">
        <f>J220&amp;(COUNTIF(J$2:J220,J220))</f>
        <v>Rochdale1</v>
      </c>
      <c r="C220" t="s">
        <v>241</v>
      </c>
      <c r="D220" t="s">
        <v>241</v>
      </c>
      <c r="E220" s="25" t="s">
        <v>377</v>
      </c>
      <c r="F220" s="25" t="s">
        <v>387</v>
      </c>
      <c r="G220" s="25" t="s">
        <v>398</v>
      </c>
      <c r="H220" s="26" t="s">
        <v>899</v>
      </c>
      <c r="I220" s="27" t="s">
        <v>385</v>
      </c>
      <c r="J220" t="str">
        <f>C220</f>
        <v>Rochdale</v>
      </c>
    </row>
    <row r="221" spans="1:11" ht="14.4">
      <c r="A221" s="22" t="str">
        <f>F221&amp;(COUNTIFS(F$2:F221,F221,K$2:K221,"Sparse"))</f>
        <v>SD31</v>
      </c>
      <c r="B221" s="22" t="str">
        <f>J221&amp;(COUNTIF(J$2:J221,J221))</f>
        <v>Essex11</v>
      </c>
      <c r="C221" t="s">
        <v>125</v>
      </c>
      <c r="D221" t="s">
        <v>125</v>
      </c>
      <c r="E221" s="25" t="s">
        <v>370</v>
      </c>
      <c r="F221" s="25" t="s">
        <v>382</v>
      </c>
      <c r="G221" s="25" t="s">
        <v>5</v>
      </c>
      <c r="H221" s="26" t="s">
        <v>894</v>
      </c>
      <c r="I221" s="27" t="s">
        <v>385</v>
      </c>
      <c r="J221" t="s">
        <v>312</v>
      </c>
    </row>
    <row r="222" spans="1:11" ht="14.4">
      <c r="A222" s="22" t="str">
        <f>F222&amp;(COUNTIFS(F$2:F222,F222,K$2:K222,"Sparse"))</f>
        <v>SD31</v>
      </c>
      <c r="B222" s="22" t="str">
        <f>J222&amp;(COUNTIF(J$2:J222,J222))</f>
        <v>Lancashire10</v>
      </c>
      <c r="C222" t="s">
        <v>126</v>
      </c>
      <c r="D222" t="s">
        <v>126</v>
      </c>
      <c r="E222" s="25" t="s">
        <v>377</v>
      </c>
      <c r="F222" s="25" t="s">
        <v>382</v>
      </c>
      <c r="G222" s="25" t="s">
        <v>5</v>
      </c>
      <c r="H222" s="26" t="s">
        <v>894</v>
      </c>
      <c r="I222" s="27" t="s">
        <v>385</v>
      </c>
      <c r="J222" t="s">
        <v>317</v>
      </c>
    </row>
    <row r="223" spans="1:11" ht="14.4">
      <c r="A223" s="22" t="str">
        <f>F223&amp;(COUNTIFS(F$2:F223,F223,K$2:K223,"Sparse"))</f>
        <v>SD32</v>
      </c>
      <c r="B223" s="22" t="str">
        <f>J223&amp;(COUNTIF(J$2:J223,J223))</f>
        <v>East Sussex5</v>
      </c>
      <c r="C223" t="s">
        <v>127</v>
      </c>
      <c r="D223" t="s">
        <v>127</v>
      </c>
      <c r="E223" s="25" t="s">
        <v>0</v>
      </c>
      <c r="F223" s="25" t="s">
        <v>382</v>
      </c>
      <c r="G223" s="25" t="s">
        <v>5</v>
      </c>
      <c r="H223" s="26" t="s">
        <v>898</v>
      </c>
      <c r="I223" s="27" t="s">
        <v>383</v>
      </c>
      <c r="J223" t="s">
        <v>311</v>
      </c>
      <c r="K223" t="s">
        <v>336</v>
      </c>
    </row>
    <row r="224" spans="1:11" ht="14.4">
      <c r="A224" s="22" t="str">
        <f>F224&amp;(COUNTIFS(F$2:F224,F224,K$2:K224,"Sparse"))</f>
        <v>MD0</v>
      </c>
      <c r="B224" s="22" t="str">
        <f>J224&amp;(COUNTIF(J$2:J224,J224))</f>
        <v>Rotherham1</v>
      </c>
      <c r="C224" t="s">
        <v>242</v>
      </c>
      <c r="D224" t="s">
        <v>242</v>
      </c>
      <c r="E224" s="25" t="s">
        <v>386</v>
      </c>
      <c r="F224" s="25" t="s">
        <v>387</v>
      </c>
      <c r="G224" s="25" t="s">
        <v>398</v>
      </c>
      <c r="H224" s="26" t="s">
        <v>896</v>
      </c>
      <c r="I224" s="27" t="s">
        <v>385</v>
      </c>
      <c r="J224" t="str">
        <f>C224</f>
        <v>Rotherham</v>
      </c>
    </row>
    <row r="225" spans="1:11" ht="14.4">
      <c r="A225" s="22" t="str">
        <f>F225&amp;(COUNTIFS(F$2:F225,F225,K$2:K225,"Sparse"))</f>
        <v>SD33</v>
      </c>
      <c r="B225" s="22" t="str">
        <f>J225&amp;(COUNTIF(J$2:J225,J225))</f>
        <v>Warwickshire3</v>
      </c>
      <c r="C225" t="s">
        <v>128</v>
      </c>
      <c r="D225" t="s">
        <v>128</v>
      </c>
      <c r="E225" s="25" t="s">
        <v>369</v>
      </c>
      <c r="F225" s="25" t="s">
        <v>382</v>
      </c>
      <c r="G225" s="25" t="s">
        <v>5</v>
      </c>
      <c r="H225" s="26" t="s">
        <v>894</v>
      </c>
      <c r="I225" s="27" t="s">
        <v>385</v>
      </c>
      <c r="J225" t="s">
        <v>331</v>
      </c>
      <c r="K225" t="s">
        <v>336</v>
      </c>
    </row>
    <row r="226" spans="1:11" ht="14.4">
      <c r="A226" s="22" t="str">
        <f>F226&amp;(COUNTIFS(F$2:F226,F226,K$2:K226,"Sparse"))</f>
        <v>SD33</v>
      </c>
      <c r="B226" s="22" t="str">
        <f>J226&amp;(COUNTIF(J$2:J226,J226))</f>
        <v>Surrey6</v>
      </c>
      <c r="C226" t="s">
        <v>129</v>
      </c>
      <c r="D226" t="s">
        <v>129</v>
      </c>
      <c r="E226" s="25" t="s">
        <v>0</v>
      </c>
      <c r="F226" s="25" t="s">
        <v>382</v>
      </c>
      <c r="G226" s="25" t="s">
        <v>5</v>
      </c>
      <c r="H226" s="26" t="s">
        <v>899</v>
      </c>
      <c r="I226" s="27" t="s">
        <v>385</v>
      </c>
      <c r="J226" t="s">
        <v>330</v>
      </c>
    </row>
    <row r="227" spans="1:11" ht="14.4">
      <c r="A227" s="22" t="str">
        <f>F227&amp;(COUNTIFS(F$2:F227,F227,K$2:K227,"Sparse"))</f>
        <v>SD33</v>
      </c>
      <c r="B227" s="22" t="str">
        <f>J227&amp;(COUNTIF(J$2:J227,J227))</f>
        <v>Nottinghamshire8</v>
      </c>
      <c r="C227" t="s">
        <v>130</v>
      </c>
      <c r="D227" t="s">
        <v>130</v>
      </c>
      <c r="E227" s="25" t="s">
        <v>368</v>
      </c>
      <c r="F227" s="25" t="s">
        <v>382</v>
      </c>
      <c r="G227" s="25" t="s">
        <v>5</v>
      </c>
      <c r="H227" s="26" t="s">
        <v>898</v>
      </c>
      <c r="I227" s="27" t="s">
        <v>383</v>
      </c>
      <c r="J227" t="s">
        <v>324</v>
      </c>
    </row>
    <row r="228" spans="1:11" ht="14.4">
      <c r="A228" s="22" t="str">
        <f>F228&amp;(COUNTIFS(F$2:F228,F228,K$2:K228,"Sparse"))</f>
        <v>SD33</v>
      </c>
      <c r="B228" s="22" t="str">
        <f>J228&amp;(COUNTIF(J$2:J228,J228))</f>
        <v>Hampshire10</v>
      </c>
      <c r="C228" t="s">
        <v>131</v>
      </c>
      <c r="D228" t="s">
        <v>131</v>
      </c>
      <c r="E228" s="25" t="s">
        <v>0</v>
      </c>
      <c r="F228" s="25" t="s">
        <v>382</v>
      </c>
      <c r="G228" s="25" t="s">
        <v>5</v>
      </c>
      <c r="H228" s="26" t="s">
        <v>894</v>
      </c>
      <c r="I228" s="27" t="s">
        <v>385</v>
      </c>
      <c r="J228" t="s">
        <v>314</v>
      </c>
    </row>
    <row r="229" spans="1:11" ht="14.4">
      <c r="A229" s="22" t="str">
        <f>F229&amp;(COUNTIFS(F$2:F229,F229,K$2:K229,"Sparse"))</f>
        <v>UA10</v>
      </c>
      <c r="B229" s="22" t="str">
        <f>J229&amp;(COUNTIF(J$2:J229,J229))</f>
        <v>Unitary39</v>
      </c>
      <c r="C229" t="s">
        <v>286</v>
      </c>
      <c r="D229" t="s">
        <v>286</v>
      </c>
      <c r="E229" s="25" t="s">
        <v>368</v>
      </c>
      <c r="F229" s="25" t="s">
        <v>388</v>
      </c>
      <c r="G229" s="25" t="s">
        <v>397</v>
      </c>
      <c r="H229" s="26" t="s">
        <v>895</v>
      </c>
      <c r="I229" s="27" t="s">
        <v>383</v>
      </c>
      <c r="J229" s="3" t="s">
        <v>397</v>
      </c>
      <c r="K229" t="s">
        <v>336</v>
      </c>
    </row>
    <row r="230" spans="1:11" ht="14.4">
      <c r="A230" s="22" t="str">
        <f>F230&amp;(COUNTIFS(F$2:F230,F230,K$2:K230,"Sparse"))</f>
        <v>SD34</v>
      </c>
      <c r="B230" s="22" t="str">
        <f>J230&amp;(COUNTIF(J$2:J230,J230))</f>
        <v>North Yorkshire6</v>
      </c>
      <c r="C230" t="s">
        <v>132</v>
      </c>
      <c r="D230" t="s">
        <v>132</v>
      </c>
      <c r="E230" s="25" t="s">
        <v>386</v>
      </c>
      <c r="F230" s="25" t="s">
        <v>382</v>
      </c>
      <c r="G230" s="25" t="s">
        <v>5</v>
      </c>
      <c r="H230" s="26" t="s">
        <v>895</v>
      </c>
      <c r="I230" s="27" t="s">
        <v>383</v>
      </c>
      <c r="J230" t="s">
        <v>321</v>
      </c>
      <c r="K230" t="s">
        <v>336</v>
      </c>
    </row>
    <row r="231" spans="1:11" ht="14.4">
      <c r="A231" s="22" t="str">
        <f>F231&amp;(COUNTIFS(F$2:F231,F231,K$2:K231,"Sparse"))</f>
        <v>MD0</v>
      </c>
      <c r="B231" s="22" t="str">
        <f>J231&amp;(COUNTIF(J$2:J231,J231))</f>
        <v>Salford1</v>
      </c>
      <c r="C231" t="s">
        <v>243</v>
      </c>
      <c r="D231" t="s">
        <v>243</v>
      </c>
      <c r="E231" s="25" t="s">
        <v>377</v>
      </c>
      <c r="F231" s="25" t="s">
        <v>387</v>
      </c>
      <c r="G231" s="25" t="s">
        <v>398</v>
      </c>
      <c r="H231" s="26" t="s">
        <v>899</v>
      </c>
      <c r="I231" s="27" t="s">
        <v>385</v>
      </c>
      <c r="J231" t="str">
        <f>C231</f>
        <v>Salford</v>
      </c>
    </row>
    <row r="232" spans="1:11" ht="14.4">
      <c r="A232" s="22" t="str">
        <f>F232&amp;(COUNTIFS(F$2:F232,F232,K$2:K232,"Sparse"))</f>
        <v>MD0</v>
      </c>
      <c r="B232" s="22" t="str">
        <f>J232&amp;(COUNTIF(J$2:J232,J232))</f>
        <v>Sandwell1</v>
      </c>
      <c r="C232" t="s">
        <v>244</v>
      </c>
      <c r="D232" t="s">
        <v>244</v>
      </c>
      <c r="E232" s="25" t="s">
        <v>369</v>
      </c>
      <c r="F232" s="25" t="s">
        <v>387</v>
      </c>
      <c r="G232" s="25" t="s">
        <v>398</v>
      </c>
      <c r="H232" s="26" t="s">
        <v>899</v>
      </c>
      <c r="I232" s="27" t="s">
        <v>385</v>
      </c>
      <c r="J232" t="str">
        <f>C232</f>
        <v>Sandwell</v>
      </c>
    </row>
    <row r="233" spans="1:11" ht="14.4">
      <c r="A233" s="22" t="str">
        <f>F233&amp;(COUNTIFS(F$2:F233,F233,K$2:K233,"Sparse"))</f>
        <v>SD35</v>
      </c>
      <c r="B233" s="22" t="str">
        <f>J233&amp;(COUNTIF(J$2:J233,J233))</f>
        <v>North Yorkshire7</v>
      </c>
      <c r="C233" t="s">
        <v>133</v>
      </c>
      <c r="D233" t="s">
        <v>133</v>
      </c>
      <c r="E233" s="25" t="s">
        <v>386</v>
      </c>
      <c r="F233" s="25" t="s">
        <v>382</v>
      </c>
      <c r="G233" s="25" t="s">
        <v>5</v>
      </c>
      <c r="H233" s="26" t="s">
        <v>897</v>
      </c>
      <c r="I233" s="27" t="s">
        <v>372</v>
      </c>
      <c r="J233" t="s">
        <v>321</v>
      </c>
      <c r="K233" t="s">
        <v>336</v>
      </c>
    </row>
    <row r="234" spans="1:11" ht="14.4">
      <c r="A234" s="22" t="str">
        <f>F234&amp;(COUNTIFS(F$2:F234,F234,K$2:K234,"Sparse"))</f>
        <v>SD36</v>
      </c>
      <c r="B234" s="22" t="str">
        <f>J234&amp;(COUNTIF(J$2:J234,J234))</f>
        <v>Somerset2</v>
      </c>
      <c r="C234" t="s">
        <v>134</v>
      </c>
      <c r="D234" t="s">
        <v>134</v>
      </c>
      <c r="E234" s="25" t="s">
        <v>1</v>
      </c>
      <c r="F234" s="25" t="s">
        <v>382</v>
      </c>
      <c r="G234" s="25" t="s">
        <v>5</v>
      </c>
      <c r="H234" s="26" t="s">
        <v>898</v>
      </c>
      <c r="I234" s="27" t="s">
        <v>383</v>
      </c>
      <c r="J234" t="s">
        <v>327</v>
      </c>
      <c r="K234" t="s">
        <v>336</v>
      </c>
    </row>
    <row r="235" spans="1:11" ht="14.4">
      <c r="A235" s="22" t="str">
        <f>F235&amp;(COUNTIFS(F$2:F235,F235,K$2:K235,"Sparse"))</f>
        <v>MD0</v>
      </c>
      <c r="B235" s="22" t="str">
        <f>J235&amp;(COUNTIF(J$2:J235,J235))</f>
        <v>Sefton1</v>
      </c>
      <c r="C235" t="s">
        <v>245</v>
      </c>
      <c r="D235" t="s">
        <v>245</v>
      </c>
      <c r="E235" s="25" t="s">
        <v>377</v>
      </c>
      <c r="F235" s="25" t="s">
        <v>387</v>
      </c>
      <c r="G235" s="25" t="s">
        <v>398</v>
      </c>
      <c r="H235" s="26" t="s">
        <v>899</v>
      </c>
      <c r="I235" s="27" t="s">
        <v>385</v>
      </c>
      <c r="J235" t="str">
        <f>C235</f>
        <v>Sefton</v>
      </c>
    </row>
    <row r="236" spans="1:11" ht="14.4">
      <c r="A236" s="22" t="str">
        <f>F236&amp;(COUNTIFS(F$2:F236,F236,K$2:K236,"Sparse"))</f>
        <v>SD37</v>
      </c>
      <c r="B236" s="22" t="str">
        <f>J236&amp;(COUNTIF(J$2:J236,J236))</f>
        <v>North Yorkshire8</v>
      </c>
      <c r="C236" t="s">
        <v>135</v>
      </c>
      <c r="D236" t="s">
        <v>135</v>
      </c>
      <c r="E236" s="25" t="s">
        <v>386</v>
      </c>
      <c r="F236" s="25" t="s">
        <v>382</v>
      </c>
      <c r="G236" s="25" t="s">
        <v>5</v>
      </c>
      <c r="H236" s="26" t="s">
        <v>895</v>
      </c>
      <c r="I236" s="27" t="s">
        <v>383</v>
      </c>
      <c r="J236" t="s">
        <v>321</v>
      </c>
      <c r="K236" t="s">
        <v>336</v>
      </c>
    </row>
    <row r="237" spans="1:11" ht="14.4">
      <c r="A237" s="22" t="str">
        <f>F237&amp;(COUNTIFS(F$2:F237,F237,K$2:K237,"Sparse"))</f>
        <v>SD37</v>
      </c>
      <c r="B237" s="22" t="str">
        <f>J237&amp;(COUNTIF(J$2:J237,J237))</f>
        <v>Kent8</v>
      </c>
      <c r="C237" t="s">
        <v>136</v>
      </c>
      <c r="D237" t="s">
        <v>136</v>
      </c>
      <c r="E237" s="25" t="s">
        <v>0</v>
      </c>
      <c r="F237" s="25" t="s">
        <v>382</v>
      </c>
      <c r="G237" s="25" t="s">
        <v>5</v>
      </c>
      <c r="H237" s="26" t="s">
        <v>898</v>
      </c>
      <c r="I237" s="27" t="s">
        <v>383</v>
      </c>
      <c r="J237" t="s">
        <v>316</v>
      </c>
    </row>
    <row r="238" spans="1:11" ht="14.4">
      <c r="A238" s="22" t="str">
        <f>F238&amp;(COUNTIFS(F$2:F238,F238,K$2:K238,"Sparse"))</f>
        <v>MD0</v>
      </c>
      <c r="B238" s="22" t="str">
        <f>J238&amp;(COUNTIF(J$2:J238,J238))</f>
        <v>Sheffield1</v>
      </c>
      <c r="C238" t="s">
        <v>246</v>
      </c>
      <c r="D238" t="s">
        <v>246</v>
      </c>
      <c r="E238" s="25" t="s">
        <v>386</v>
      </c>
      <c r="F238" s="25" t="s">
        <v>387</v>
      </c>
      <c r="G238" s="25" t="s">
        <v>398</v>
      </c>
      <c r="H238" s="26" t="s">
        <v>896</v>
      </c>
      <c r="I238" s="27" t="s">
        <v>385</v>
      </c>
      <c r="J238" t="str">
        <f>C238</f>
        <v>Sheffield</v>
      </c>
    </row>
    <row r="239" spans="1:11" ht="14.4">
      <c r="A239" s="22" t="str">
        <f>F239&amp;(COUNTIFS(F$2:F239,F239,K$2:K239,"Sparse"))</f>
        <v>SD37</v>
      </c>
      <c r="B239" s="22" t="str">
        <f>J239&amp;(COUNTIF(J$2:J239,J239))</f>
        <v>Kent9</v>
      </c>
      <c r="C239" t="s">
        <v>903</v>
      </c>
      <c r="D239" t="s">
        <v>903</v>
      </c>
      <c r="E239" s="25" t="s">
        <v>0</v>
      </c>
      <c r="F239" s="25" t="s">
        <v>382</v>
      </c>
      <c r="G239" s="25" t="s">
        <v>5</v>
      </c>
      <c r="H239" s="26" t="s">
        <v>897</v>
      </c>
      <c r="I239" s="27" t="s">
        <v>372</v>
      </c>
      <c r="J239" t="s">
        <v>316</v>
      </c>
    </row>
    <row r="240" spans="1:11" ht="14.4">
      <c r="A240" s="22" t="str">
        <f>F240&amp;(COUNTIFS(F$2:F240,F240,K$2:K240,"Sparse"))</f>
        <v>UA11</v>
      </c>
      <c r="B240" s="22" t="str">
        <f>J240&amp;(COUNTIF(J$2:J240,J240))</f>
        <v>Unitary40</v>
      </c>
      <c r="C240" t="s">
        <v>326</v>
      </c>
      <c r="D240" t="s">
        <v>326</v>
      </c>
      <c r="E240" s="25" t="s">
        <v>369</v>
      </c>
      <c r="F240" s="25" t="s">
        <v>388</v>
      </c>
      <c r="G240" s="25" t="s">
        <v>397</v>
      </c>
      <c r="H240" s="26" t="s">
        <v>898</v>
      </c>
      <c r="I240" s="27" t="s">
        <v>383</v>
      </c>
      <c r="J240" s="3" t="s">
        <v>397</v>
      </c>
      <c r="K240" t="s">
        <v>336</v>
      </c>
    </row>
    <row r="241" spans="1:11" ht="14.4">
      <c r="A241" s="22" t="str">
        <f>F241&amp;(COUNTIFS(F$2:F241,F241,K$2:K241,"Sparse"))</f>
        <v>UA11</v>
      </c>
      <c r="B241" s="22" t="str">
        <f>J241&amp;(COUNTIF(J$2:J241,J241))</f>
        <v>Unitary41</v>
      </c>
      <c r="C241" t="s">
        <v>287</v>
      </c>
      <c r="D241" t="s">
        <v>287</v>
      </c>
      <c r="E241" s="25" t="s">
        <v>0</v>
      </c>
      <c r="F241" s="25" t="s">
        <v>388</v>
      </c>
      <c r="G241" s="25" t="s">
        <v>397</v>
      </c>
      <c r="H241" s="26" t="s">
        <v>894</v>
      </c>
      <c r="I241" s="27" t="s">
        <v>385</v>
      </c>
      <c r="J241" s="3" t="s">
        <v>397</v>
      </c>
    </row>
    <row r="242" spans="1:11" ht="14.4">
      <c r="A242" s="22" t="str">
        <f>F242&amp;(COUNTIFS(F$2:F242,F242,K$2:K242,"Sparse"))</f>
        <v>MD0</v>
      </c>
      <c r="B242" s="22" t="str">
        <f>J242&amp;(COUNTIF(J$2:J242,J242))</f>
        <v>Solihull1</v>
      </c>
      <c r="C242" t="s">
        <v>247</v>
      </c>
      <c r="D242" t="s">
        <v>247</v>
      </c>
      <c r="E242" s="25" t="s">
        <v>369</v>
      </c>
      <c r="F242" s="25" t="s">
        <v>387</v>
      </c>
      <c r="G242" s="25" t="s">
        <v>398</v>
      </c>
      <c r="H242" s="26" t="s">
        <v>899</v>
      </c>
      <c r="I242" s="27" t="s">
        <v>385</v>
      </c>
      <c r="J242" t="str">
        <f>C242</f>
        <v>Solihull</v>
      </c>
    </row>
    <row r="243" spans="1:11" ht="14.4">
      <c r="A243" s="22" t="str">
        <f>F243&amp;(COUNTIFS(F$2:F243,F243,K$2:K243,"Sparse"))</f>
        <v>SC8</v>
      </c>
      <c r="B243" s="22" t="str">
        <f>J243&amp;(COUNTIF(J$2:J243,J243))</f>
        <v>Somerset3</v>
      </c>
      <c r="C243" s="27" t="s">
        <v>327</v>
      </c>
      <c r="D243" s="27" t="s">
        <v>327</v>
      </c>
      <c r="E243" s="25" t="s">
        <v>1</v>
      </c>
      <c r="F243" s="25" t="s">
        <v>390</v>
      </c>
      <c r="G243" s="25" t="s">
        <v>302</v>
      </c>
      <c r="H243" s="27" t="s">
        <v>383</v>
      </c>
      <c r="I243" s="27" t="s">
        <v>383</v>
      </c>
      <c r="J243" t="str">
        <f>C243</f>
        <v>Somerset</v>
      </c>
    </row>
    <row r="244" spans="1:11" ht="14.4">
      <c r="A244" s="22" t="str">
        <f>F244&amp;(COUNTIFS(F$2:F244,F244,K$2:K244,"Sparse"))</f>
        <v>SD38</v>
      </c>
      <c r="B244" s="22" t="str">
        <f>J244&amp;(COUNTIF(J$2:J244,J244))</f>
        <v>Somerset4</v>
      </c>
      <c r="C244" s="27" t="s">
        <v>905</v>
      </c>
      <c r="D244" s="27" t="s">
        <v>905</v>
      </c>
      <c r="E244" s="25" t="s">
        <v>1</v>
      </c>
      <c r="F244" s="25" t="s">
        <v>382</v>
      </c>
      <c r="G244" s="25" t="s">
        <v>5</v>
      </c>
      <c r="H244" s="27" t="s">
        <v>908</v>
      </c>
      <c r="I244" s="27" t="s">
        <v>383</v>
      </c>
      <c r="J244" t="s">
        <v>327</v>
      </c>
      <c r="K244" t="s">
        <v>336</v>
      </c>
    </row>
    <row r="245" spans="1:11" ht="14.4">
      <c r="A245" s="22" t="str">
        <f>F245&amp;(COUNTIFS(F$2:F245,F245,K$2:K245,"Sparse"))</f>
        <v>SD39</v>
      </c>
      <c r="B245" s="22" t="str">
        <f>J245&amp;(COUNTIF(J$2:J245,J245))</f>
        <v>Cambridgeshire6</v>
      </c>
      <c r="C245" t="s">
        <v>912</v>
      </c>
      <c r="D245" t="s">
        <v>912</v>
      </c>
      <c r="E245" s="25" t="s">
        <v>370</v>
      </c>
      <c r="F245" s="25" t="s">
        <v>382</v>
      </c>
      <c r="G245" s="25" t="s">
        <v>5</v>
      </c>
      <c r="H245" s="26" t="s">
        <v>897</v>
      </c>
      <c r="I245" s="27" t="s">
        <v>372</v>
      </c>
      <c r="J245" t="s">
        <v>303</v>
      </c>
      <c r="K245" t="s">
        <v>336</v>
      </c>
    </row>
    <row r="246" spans="1:11" ht="14.4">
      <c r="A246" s="22" t="str">
        <f>F246&amp;(COUNTIFS(F$2:F246,F246,K$2:K246,"Sparse"))</f>
        <v>SD39</v>
      </c>
      <c r="B246" s="22" t="str">
        <f>J246&amp;(COUNTIF(J$2:J246,J246))</f>
        <v>Derbyshire9</v>
      </c>
      <c r="C246" t="s">
        <v>140</v>
      </c>
      <c r="D246" t="s">
        <v>140</v>
      </c>
      <c r="E246" s="25" t="s">
        <v>368</v>
      </c>
      <c r="F246" s="25" t="s">
        <v>382</v>
      </c>
      <c r="G246" s="25" t="s">
        <v>5</v>
      </c>
      <c r="H246" s="26" t="s">
        <v>897</v>
      </c>
      <c r="I246" s="27" t="s">
        <v>372</v>
      </c>
      <c r="J246" t="s">
        <v>308</v>
      </c>
    </row>
    <row r="247" spans="1:11" ht="14.4">
      <c r="A247" s="22" t="str">
        <f>F247&amp;(COUNTIFS(F$2:F247,F247,K$2:K247,"Sparse"))</f>
        <v>UA11</v>
      </c>
      <c r="B247" s="22" t="str">
        <f>J247&amp;(COUNTIF(J$2:J247,J247))</f>
        <v>Unitary42</v>
      </c>
      <c r="C247" t="s">
        <v>288</v>
      </c>
      <c r="D247" t="s">
        <v>288</v>
      </c>
      <c r="E247" s="25" t="s">
        <v>1</v>
      </c>
      <c r="F247" s="25" t="s">
        <v>388</v>
      </c>
      <c r="G247" s="25" t="s">
        <v>397</v>
      </c>
      <c r="H247" s="26" t="s">
        <v>894</v>
      </c>
      <c r="I247" s="27" t="s">
        <v>385</v>
      </c>
      <c r="J247" s="3" t="s">
        <v>397</v>
      </c>
    </row>
    <row r="248" spans="1:11" ht="14.4">
      <c r="A248" s="22" t="str">
        <f>F248&amp;(COUNTIFS(F$2:F248,F248,K$2:K248,"Sparse"))</f>
        <v>SD40</v>
      </c>
      <c r="B248" s="22" t="str">
        <f>J248&amp;(COUNTIF(J$2:J248,J248))</f>
        <v>Devon6</v>
      </c>
      <c r="C248" t="s">
        <v>141</v>
      </c>
      <c r="D248" t="s">
        <v>141</v>
      </c>
      <c r="E248" s="25" t="s">
        <v>1</v>
      </c>
      <c r="F248" s="25" t="s">
        <v>382</v>
      </c>
      <c r="G248" s="25" t="s">
        <v>5</v>
      </c>
      <c r="H248" s="26" t="s">
        <v>895</v>
      </c>
      <c r="I248" s="27" t="s">
        <v>383</v>
      </c>
      <c r="J248" t="s">
        <v>309</v>
      </c>
      <c r="K248" t="s">
        <v>336</v>
      </c>
    </row>
    <row r="249" spans="1:11" ht="14.4">
      <c r="A249" s="22" t="str">
        <f>F249&amp;(COUNTIFS(F$2:F249,F249,K$2:K249,"Sparse"))</f>
        <v>SD41</v>
      </c>
      <c r="B249" s="22" t="str">
        <f>J249&amp;(COUNTIF(J$2:J249,J249))</f>
        <v>Lincolnshire6</v>
      </c>
      <c r="C249" t="s">
        <v>142</v>
      </c>
      <c r="D249" t="s">
        <v>142</v>
      </c>
      <c r="E249" s="25" t="s">
        <v>368</v>
      </c>
      <c r="F249" s="25" t="s">
        <v>382</v>
      </c>
      <c r="G249" s="25" t="s">
        <v>5</v>
      </c>
      <c r="H249" s="26" t="s">
        <v>898</v>
      </c>
      <c r="I249" s="27" t="s">
        <v>383</v>
      </c>
      <c r="J249" t="s">
        <v>319</v>
      </c>
      <c r="K249" t="s">
        <v>336</v>
      </c>
    </row>
    <row r="250" spans="1:11" ht="14.4">
      <c r="A250" s="22" t="str">
        <f>F250&amp;(COUNTIFS(F$2:F250,F250,K$2:K250,"Sparse"))</f>
        <v>SD42</v>
      </c>
      <c r="B250" s="22" t="str">
        <f>J250&amp;(COUNTIF(J$2:J250,J250))</f>
        <v>Lincolnshire7</v>
      </c>
      <c r="C250" t="s">
        <v>143</v>
      </c>
      <c r="D250" t="s">
        <v>143</v>
      </c>
      <c r="E250" s="25" t="s">
        <v>368</v>
      </c>
      <c r="F250" s="25" t="s">
        <v>382</v>
      </c>
      <c r="G250" s="25" t="s">
        <v>5</v>
      </c>
      <c r="H250" s="26" t="s">
        <v>898</v>
      </c>
      <c r="I250" s="27" t="s">
        <v>383</v>
      </c>
      <c r="J250" t="s">
        <v>319</v>
      </c>
      <c r="K250" t="s">
        <v>336</v>
      </c>
    </row>
    <row r="251" spans="1:11" ht="14.4">
      <c r="A251" s="22" t="str">
        <f>F251&amp;(COUNTIFS(F$2:F251,F251,K$2:K251,"Sparse"))</f>
        <v>SD43</v>
      </c>
      <c r="B251" s="22" t="str">
        <f>J251&amp;(COUNTIF(J$2:J251,J251))</f>
        <v>Cumbria7</v>
      </c>
      <c r="C251" t="s">
        <v>144</v>
      </c>
      <c r="D251" t="s">
        <v>144</v>
      </c>
      <c r="E251" s="25" t="s">
        <v>377</v>
      </c>
      <c r="F251" s="25" t="s">
        <v>382</v>
      </c>
      <c r="G251" s="25" t="s">
        <v>5</v>
      </c>
      <c r="H251" s="26" t="s">
        <v>895</v>
      </c>
      <c r="I251" s="27" t="s">
        <v>383</v>
      </c>
      <c r="J251" t="s">
        <v>307</v>
      </c>
      <c r="K251" t="s">
        <v>336</v>
      </c>
    </row>
    <row r="252" spans="1:11" ht="14.4">
      <c r="A252" s="22" t="str">
        <f>F252&amp;(COUNTIFS(F$2:F252,F252,K$2:K252,"Sparse"))</f>
        <v>SD44</v>
      </c>
      <c r="B252" s="22" t="str">
        <f>J252&amp;(COUNTIF(J$2:J252,J252))</f>
        <v>Norfolk8</v>
      </c>
      <c r="C252" t="s">
        <v>145</v>
      </c>
      <c r="D252" t="s">
        <v>145</v>
      </c>
      <c r="E252" s="25" t="s">
        <v>370</v>
      </c>
      <c r="F252" s="25" t="s">
        <v>382</v>
      </c>
      <c r="G252" s="25" t="s">
        <v>5</v>
      </c>
      <c r="H252" s="26" t="s">
        <v>895</v>
      </c>
      <c r="I252" s="27" t="s">
        <v>383</v>
      </c>
      <c r="J252" t="s">
        <v>320</v>
      </c>
      <c r="K252" t="s">
        <v>336</v>
      </c>
    </row>
    <row r="253" spans="1:11" ht="14.4">
      <c r="A253" s="22" t="str">
        <f>F253&amp;(COUNTIFS(F$2:F253,F253,K$2:K253,"Sparse"))</f>
        <v>SD45</v>
      </c>
      <c r="B253" s="22" t="str">
        <f>J253&amp;(COUNTIF(J$2:J253,J253))</f>
        <v>Oxfordshire4</v>
      </c>
      <c r="C253" t="s">
        <v>147</v>
      </c>
      <c r="D253" t="s">
        <v>147</v>
      </c>
      <c r="E253" s="25" t="s">
        <v>0</v>
      </c>
      <c r="F253" s="25" t="s">
        <v>382</v>
      </c>
      <c r="G253" s="25" t="s">
        <v>5</v>
      </c>
      <c r="H253" s="26" t="s">
        <v>895</v>
      </c>
      <c r="I253" s="27" t="s">
        <v>383</v>
      </c>
      <c r="J253" t="s">
        <v>325</v>
      </c>
      <c r="K253" t="s">
        <v>336</v>
      </c>
    </row>
    <row r="254" spans="1:11" ht="14.4">
      <c r="A254" s="22" t="str">
        <f>F254&amp;(COUNTIFS(F$2:F254,F254,K$2:K254,"Sparse"))</f>
        <v>SD45</v>
      </c>
      <c r="B254" s="22" t="str">
        <f>J254&amp;(COUNTIF(J$2:J254,J254))</f>
        <v>Lancashire11</v>
      </c>
      <c r="C254" t="s">
        <v>148</v>
      </c>
      <c r="D254" t="s">
        <v>148</v>
      </c>
      <c r="E254" s="25" t="s">
        <v>377</v>
      </c>
      <c r="F254" s="25" t="s">
        <v>382</v>
      </c>
      <c r="G254" s="25" t="s">
        <v>5</v>
      </c>
      <c r="H254" s="26" t="s">
        <v>894</v>
      </c>
      <c r="I254" s="27" t="s">
        <v>385</v>
      </c>
      <c r="J254" t="s">
        <v>317</v>
      </c>
    </row>
    <row r="255" spans="1:11" ht="14.4">
      <c r="A255" s="22" t="str">
        <f>F255&amp;(COUNTIFS(F$2:F255,F255,K$2:K255,"Sparse"))</f>
        <v>SD46</v>
      </c>
      <c r="B255" s="22" t="str">
        <f>J255&amp;(COUNTIF(J$2:J255,J255))</f>
        <v>Somerset5</v>
      </c>
      <c r="C255" t="s">
        <v>149</v>
      </c>
      <c r="D255" t="s">
        <v>149</v>
      </c>
      <c r="E255" s="25" t="s">
        <v>1</v>
      </c>
      <c r="F255" s="25" t="s">
        <v>382</v>
      </c>
      <c r="G255" s="25" t="s">
        <v>5</v>
      </c>
      <c r="H255" s="26" t="s">
        <v>898</v>
      </c>
      <c r="I255" s="27" t="s">
        <v>383</v>
      </c>
      <c r="J255" t="s">
        <v>327</v>
      </c>
      <c r="K255" t="s">
        <v>336</v>
      </c>
    </row>
    <row r="256" spans="1:11" ht="14.4">
      <c r="A256" s="22" t="str">
        <f>F256&amp;(COUNTIFS(F$2:F256,F256,K$2:K256,"Sparse"))</f>
        <v>SD46</v>
      </c>
      <c r="B256" s="22" t="str">
        <f>J256&amp;(COUNTIF(J$2:J256,J256))</f>
        <v>Staffordshire5</v>
      </c>
      <c r="C256" t="s">
        <v>150</v>
      </c>
      <c r="D256" t="s">
        <v>150</v>
      </c>
      <c r="E256" s="25" t="s">
        <v>369</v>
      </c>
      <c r="F256" s="25" t="s">
        <v>382</v>
      </c>
      <c r="G256" s="25" t="s">
        <v>5</v>
      </c>
      <c r="H256" s="26" t="s">
        <v>897</v>
      </c>
      <c r="I256" s="27" t="s">
        <v>372</v>
      </c>
      <c r="J256" t="s">
        <v>328</v>
      </c>
    </row>
    <row r="257" spans="1:11" ht="14.4">
      <c r="A257" s="22" t="str">
        <f>F257&amp;(COUNTIFS(F$2:F257,F257,K$2:K257,"Sparse"))</f>
        <v>MD0</v>
      </c>
      <c r="B257" s="22" t="str">
        <f>J257&amp;(COUNTIF(J$2:J257,J257))</f>
        <v>South Tyneside1</v>
      </c>
      <c r="C257" t="s">
        <v>248</v>
      </c>
      <c r="D257" t="s">
        <v>248</v>
      </c>
      <c r="E257" s="25" t="s">
        <v>391</v>
      </c>
      <c r="F257" s="25" t="s">
        <v>387</v>
      </c>
      <c r="G257" s="25" t="s">
        <v>398</v>
      </c>
      <c r="H257" s="26" t="s">
        <v>899</v>
      </c>
      <c r="I257" s="27" t="s">
        <v>385</v>
      </c>
      <c r="J257" t="str">
        <f>C257</f>
        <v>South Tyneside</v>
      </c>
    </row>
    <row r="258" spans="1:11" ht="14.4">
      <c r="A258" s="22" t="str">
        <f>F258&amp;(COUNTIFS(F$2:F258,F258,K$2:K258,"Sparse"))</f>
        <v>UA11</v>
      </c>
      <c r="B258" s="22" t="str">
        <f>J258&amp;(COUNTIF(J$2:J258,J258))</f>
        <v>Unitary43</v>
      </c>
      <c r="C258" t="s">
        <v>289</v>
      </c>
      <c r="D258" t="s">
        <v>289</v>
      </c>
      <c r="E258" s="25" t="s">
        <v>0</v>
      </c>
      <c r="F258" s="25" t="s">
        <v>388</v>
      </c>
      <c r="G258" s="25" t="s">
        <v>397</v>
      </c>
      <c r="H258" s="26" t="s">
        <v>894</v>
      </c>
      <c r="I258" s="27" t="s">
        <v>385</v>
      </c>
      <c r="J258" s="3" t="s">
        <v>397</v>
      </c>
    </row>
    <row r="259" spans="1:11" ht="14.4">
      <c r="A259" s="22" t="str">
        <f>F259&amp;(COUNTIFS(F$2:F259,F259,K$2:K259,"Sparse"))</f>
        <v>UA11</v>
      </c>
      <c r="B259" s="22" t="str">
        <f>J259&amp;(COUNTIF(J$2:J259,J259))</f>
        <v>Unitary44</v>
      </c>
      <c r="C259" t="s">
        <v>290</v>
      </c>
      <c r="D259" t="s">
        <v>290</v>
      </c>
      <c r="E259" s="25" t="s">
        <v>370</v>
      </c>
      <c r="F259" s="25" t="s">
        <v>388</v>
      </c>
      <c r="G259" s="25" t="s">
        <v>397</v>
      </c>
      <c r="H259" s="26" t="s">
        <v>894</v>
      </c>
      <c r="I259" s="27" t="s">
        <v>385</v>
      </c>
      <c r="J259" s="3" t="s">
        <v>397</v>
      </c>
    </row>
    <row r="260" spans="1:11" ht="14.4">
      <c r="A260" s="22" t="str">
        <f>F260&amp;(COUNTIFS(F$2:F260,F260,K$2:K260,"Sparse"))</f>
        <v>L0</v>
      </c>
      <c r="B260" s="22" t="str">
        <f>J260&amp;(COUNTIF(J$2:J260,J260))</f>
        <v>London28</v>
      </c>
      <c r="C260" t="s">
        <v>218</v>
      </c>
      <c r="D260" t="s">
        <v>218</v>
      </c>
      <c r="E260" s="25" t="s">
        <v>384</v>
      </c>
      <c r="F260" s="25" t="s">
        <v>360</v>
      </c>
      <c r="G260" s="25" t="s">
        <v>384</v>
      </c>
      <c r="H260" s="26" t="s">
        <v>899</v>
      </c>
      <c r="I260" s="27" t="s">
        <v>385</v>
      </c>
      <c r="J260" t="str">
        <f>G260</f>
        <v>London</v>
      </c>
    </row>
    <row r="261" spans="1:11" ht="14.4">
      <c r="A261" s="22" t="str">
        <f>F261&amp;(COUNTIFS(F$2:F261,F261,K$2:K261,"Sparse"))</f>
        <v>SD46</v>
      </c>
      <c r="B261" s="22" t="str">
        <f>J261&amp;(COUNTIF(J$2:J261,J261))</f>
        <v>Surrey7</v>
      </c>
      <c r="C261" t="s">
        <v>151</v>
      </c>
      <c r="D261" t="s">
        <v>151</v>
      </c>
      <c r="E261" s="25" t="s">
        <v>0</v>
      </c>
      <c r="F261" s="25" t="s">
        <v>382</v>
      </c>
      <c r="G261" s="25" t="s">
        <v>5</v>
      </c>
      <c r="H261" s="26" t="s">
        <v>899</v>
      </c>
      <c r="I261" s="27" t="s">
        <v>385</v>
      </c>
      <c r="J261" t="s">
        <v>330</v>
      </c>
    </row>
    <row r="262" spans="1:11" ht="14.4">
      <c r="A262" s="22" t="str">
        <f>F262&amp;(COUNTIFS(F$2:F262,F262,K$2:K262,"Sparse"))</f>
        <v>SD46</v>
      </c>
      <c r="B262" s="22" t="str">
        <f>J262&amp;(COUNTIF(J$2:J262,J262))</f>
        <v>Hertfordshire7</v>
      </c>
      <c r="C262" t="s">
        <v>152</v>
      </c>
      <c r="D262" t="s">
        <v>152</v>
      </c>
      <c r="E262" s="25" t="s">
        <v>370</v>
      </c>
      <c r="F262" s="25" t="s">
        <v>382</v>
      </c>
      <c r="G262" s="25" t="s">
        <v>5</v>
      </c>
      <c r="H262" s="26" t="s">
        <v>894</v>
      </c>
      <c r="I262" s="27" t="s">
        <v>385</v>
      </c>
      <c r="J262" t="s">
        <v>315</v>
      </c>
    </row>
    <row r="263" spans="1:11" ht="14.4">
      <c r="A263" s="22" t="str">
        <f>F263&amp;(COUNTIFS(F$2:F263,F263,K$2:K263,"Sparse"))</f>
        <v>SD47</v>
      </c>
      <c r="B263" s="22" t="str">
        <f>J263&amp;(COUNTIF(J$2:J263,J263))</f>
        <v>Suffolk4</v>
      </c>
      <c r="C263" t="s">
        <v>901</v>
      </c>
      <c r="D263" t="s">
        <v>901</v>
      </c>
      <c r="E263" s="25" t="s">
        <v>370</v>
      </c>
      <c r="F263" s="25" t="s">
        <v>382</v>
      </c>
      <c r="G263" s="25" t="s">
        <v>5</v>
      </c>
      <c r="H263" s="26" t="s">
        <v>898</v>
      </c>
      <c r="I263" s="27" t="s">
        <v>383</v>
      </c>
      <c r="J263" t="s">
        <v>329</v>
      </c>
      <c r="K263" t="s">
        <v>336</v>
      </c>
    </row>
    <row r="264" spans="1:11" ht="14.4">
      <c r="A264" s="22" t="str">
        <f>F264&amp;(COUNTIFS(F$2:F264,F264,K$2:K264,"Sparse"))</f>
        <v>MD0</v>
      </c>
      <c r="B264" s="22" t="str">
        <f>J264&amp;(COUNTIF(J$2:J264,J264))</f>
        <v>St Helens1</v>
      </c>
      <c r="C264" t="s">
        <v>249</v>
      </c>
      <c r="D264" t="s">
        <v>396</v>
      </c>
      <c r="E264" s="25" t="s">
        <v>377</v>
      </c>
      <c r="F264" s="25" t="s">
        <v>387</v>
      </c>
      <c r="G264" s="25" t="s">
        <v>398</v>
      </c>
      <c r="H264" s="26" t="s">
        <v>899</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897</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898</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894</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899</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894</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894</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895</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897</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SD51</v>
      </c>
      <c r="B275" s="22" t="str">
        <f>J275&amp;(COUNTIF(J$2:J275,J275))</f>
        <v>Suffolk6</v>
      </c>
      <c r="C275" t="s">
        <v>900</v>
      </c>
      <c r="D275" t="s">
        <v>900</v>
      </c>
      <c r="E275" s="25" t="s">
        <v>370</v>
      </c>
      <c r="F275" s="25" t="s">
        <v>382</v>
      </c>
      <c r="G275" s="25" t="s">
        <v>5</v>
      </c>
      <c r="H275" s="26" t="s">
        <v>898</v>
      </c>
      <c r="I275" s="27" t="s">
        <v>383</v>
      </c>
      <c r="J275" t="s">
        <v>329</v>
      </c>
      <c r="K275" t="s">
        <v>336</v>
      </c>
    </row>
    <row r="276" spans="1:11" ht="14.4">
      <c r="A276" s="22" t="str">
        <f>F276&amp;(COUNTIFS(F$2:F276,F276,K$2:K276,"Sparse"))</f>
        <v>MD0</v>
      </c>
      <c r="B276" s="22" t="str">
        <f>J276&amp;(COUNTIF(J$2:J276,J276))</f>
        <v>Sunderland1</v>
      </c>
      <c r="C276" t="s">
        <v>251</v>
      </c>
      <c r="D276" t="s">
        <v>251</v>
      </c>
      <c r="E276" s="25" t="s">
        <v>391</v>
      </c>
      <c r="F276" s="25" t="s">
        <v>387</v>
      </c>
      <c r="G276" s="25" t="s">
        <v>398</v>
      </c>
      <c r="H276" s="26" t="s">
        <v>899</v>
      </c>
      <c r="I276" s="27" t="s">
        <v>385</v>
      </c>
      <c r="J276" t="str">
        <f>C276</f>
        <v>Sunderland</v>
      </c>
    </row>
    <row r="277" spans="1:11" ht="14.4">
      <c r="A277" s="22" t="str">
        <f>F277&amp;(COUNTIFS(F$2:F277,F277,K$2:K277,"Sparse"))</f>
        <v>SC10</v>
      </c>
      <c r="B277" s="22" t="str">
        <f>J277&amp;(COUNTIF(J$2:J277,J277))</f>
        <v>Surrey8</v>
      </c>
      <c r="C277" s="27" t="s">
        <v>330</v>
      </c>
      <c r="D277" s="27" t="s">
        <v>330</v>
      </c>
      <c r="E277" s="25" t="s">
        <v>0</v>
      </c>
      <c r="F277" s="25" t="s">
        <v>390</v>
      </c>
      <c r="G277" s="25" t="s">
        <v>302</v>
      </c>
      <c r="H277" s="27" t="s">
        <v>385</v>
      </c>
      <c r="I277" s="27" t="s">
        <v>385</v>
      </c>
      <c r="J277" t="str">
        <f>C277</f>
        <v>Surrey</v>
      </c>
    </row>
    <row r="278" spans="1:11" ht="14.4">
      <c r="A278" s="22" t="str">
        <f>F278&amp;(COUNTIFS(F$2:F278,F278,K$2:K278,"Sparse"))</f>
        <v>SD51</v>
      </c>
      <c r="B278" s="22" t="str">
        <f>J278&amp;(COUNTIF(J$2:J278,J278))</f>
        <v>Surrey9</v>
      </c>
      <c r="C278" t="s">
        <v>160</v>
      </c>
      <c r="D278" t="s">
        <v>160</v>
      </c>
      <c r="E278" s="25" t="s">
        <v>0</v>
      </c>
      <c r="F278" s="25" t="s">
        <v>382</v>
      </c>
      <c r="G278" s="25" t="s">
        <v>5</v>
      </c>
      <c r="H278" s="26" t="s">
        <v>894</v>
      </c>
      <c r="I278" s="27" t="s">
        <v>385</v>
      </c>
      <c r="J278" t="s">
        <v>330</v>
      </c>
    </row>
    <row r="279" spans="1:11" ht="14.4">
      <c r="A279" s="22" t="str">
        <f>F279&amp;(COUNTIFS(F$2:F279,F279,K$2:K279,"Sparse"))</f>
        <v>L0</v>
      </c>
      <c r="B279" s="22" t="str">
        <f>J279&amp;(COUNTIF(J$2:J279,J279))</f>
        <v>London29</v>
      </c>
      <c r="C279" t="s">
        <v>219</v>
      </c>
      <c r="D279" t="s">
        <v>219</v>
      </c>
      <c r="E279" s="25" t="s">
        <v>384</v>
      </c>
      <c r="F279" s="25" t="s">
        <v>360</v>
      </c>
      <c r="G279" s="25" t="s">
        <v>384</v>
      </c>
      <c r="H279" s="26" t="s">
        <v>899</v>
      </c>
      <c r="I279" s="27" t="s">
        <v>385</v>
      </c>
      <c r="J279" t="str">
        <f>G279</f>
        <v>London</v>
      </c>
    </row>
    <row r="280" spans="1:11" ht="14.4">
      <c r="A280" s="22" t="str">
        <f>F280&amp;(COUNTIFS(F$2:F280,F280,K$2:K280,"Sparse"))</f>
        <v>SD51</v>
      </c>
      <c r="B280" s="22" t="str">
        <f>J280&amp;(COUNTIF(J$2:J280,J280))</f>
        <v>Kent10</v>
      </c>
      <c r="C280" t="s">
        <v>161</v>
      </c>
      <c r="D280" t="s">
        <v>161</v>
      </c>
      <c r="E280" s="25" t="s">
        <v>0</v>
      </c>
      <c r="F280" s="25" t="s">
        <v>382</v>
      </c>
      <c r="G280" s="25" t="s">
        <v>5</v>
      </c>
      <c r="H280" s="26" t="s">
        <v>898</v>
      </c>
      <c r="I280" s="27" t="s">
        <v>383</v>
      </c>
      <c r="J280" t="s">
        <v>316</v>
      </c>
    </row>
    <row r="281" spans="1:11" ht="14.4">
      <c r="A281" s="22" t="str">
        <f>F281&amp;(COUNTIFS(F$2:F281,F281,K$2:K281,"Sparse"))</f>
        <v>UA11</v>
      </c>
      <c r="B281" s="22" t="str">
        <f>J281&amp;(COUNTIF(J$2:J281,J281))</f>
        <v>Unitary47</v>
      </c>
      <c r="C281" t="s">
        <v>293</v>
      </c>
      <c r="D281" t="s">
        <v>293</v>
      </c>
      <c r="E281" s="25" t="s">
        <v>1</v>
      </c>
      <c r="F281" s="25" t="s">
        <v>388</v>
      </c>
      <c r="G281" s="25" t="s">
        <v>397</v>
      </c>
      <c r="H281" s="26" t="s">
        <v>894</v>
      </c>
      <c r="I281" s="27" t="s">
        <v>385</v>
      </c>
      <c r="J281" s="3" t="s">
        <v>397</v>
      </c>
    </row>
    <row r="282" spans="1:11" ht="14.4">
      <c r="A282" s="22" t="str">
        <f>F282&amp;(COUNTIFS(F$2:F282,F282,K$2:K282,"Sparse"))</f>
        <v>MD0</v>
      </c>
      <c r="B282" s="22" t="str">
        <f>J282&amp;(COUNTIF(J$2:J282,J282))</f>
        <v>Tameside1</v>
      </c>
      <c r="C282" t="s">
        <v>252</v>
      </c>
      <c r="D282" t="s">
        <v>252</v>
      </c>
      <c r="E282" s="25" t="s">
        <v>377</v>
      </c>
      <c r="F282" s="25" t="s">
        <v>387</v>
      </c>
      <c r="G282" s="25" t="s">
        <v>398</v>
      </c>
      <c r="H282" s="26" t="s">
        <v>899</v>
      </c>
      <c r="I282" s="27" t="s">
        <v>385</v>
      </c>
      <c r="J282" t="str">
        <f>C282</f>
        <v>Tameside</v>
      </c>
    </row>
    <row r="283" spans="1:11" ht="14.4">
      <c r="A283" s="22" t="str">
        <f>F283&amp;(COUNTIFS(F$2:F283,F283,K$2:K283,"Sparse"))</f>
        <v>SD51</v>
      </c>
      <c r="B283" s="22" t="str">
        <f>J283&amp;(COUNTIF(J$2:J283,J283))</f>
        <v>Staffordshire9</v>
      </c>
      <c r="C283" t="s">
        <v>162</v>
      </c>
      <c r="D283" t="s">
        <v>162</v>
      </c>
      <c r="E283" s="25" t="s">
        <v>369</v>
      </c>
      <c r="F283" s="25" t="s">
        <v>382</v>
      </c>
      <c r="G283" s="25" t="s">
        <v>5</v>
      </c>
      <c r="H283" s="26" t="s">
        <v>894</v>
      </c>
      <c r="I283" s="27" t="s">
        <v>385</v>
      </c>
      <c r="J283" t="s">
        <v>328</v>
      </c>
    </row>
    <row r="284" spans="1:11" ht="14.4">
      <c r="A284" s="22" t="str">
        <f>F284&amp;(COUNTIFS(F$2:F284,F284,K$2:K284,"Sparse"))</f>
        <v>SD51</v>
      </c>
      <c r="B284" s="22" t="str">
        <f>J284&amp;(COUNTIF(J$2:J284,J284))</f>
        <v>Surrey10</v>
      </c>
      <c r="C284" t="s">
        <v>163</v>
      </c>
      <c r="D284" t="s">
        <v>163</v>
      </c>
      <c r="E284" s="25" t="s">
        <v>0</v>
      </c>
      <c r="F284" s="25" t="s">
        <v>382</v>
      </c>
      <c r="G284" s="25" t="s">
        <v>5</v>
      </c>
      <c r="H284" s="26" t="s">
        <v>897</v>
      </c>
      <c r="I284" s="27" t="s">
        <v>372</v>
      </c>
      <c r="J284" t="s">
        <v>330</v>
      </c>
    </row>
    <row r="285" spans="1:11" ht="14.4">
      <c r="A285" s="22" t="str">
        <f>F285&amp;(COUNTIFS(F$2:F285,F285,K$2:K285,"Sparse"))</f>
        <v>SD52</v>
      </c>
      <c r="B285" s="22" t="str">
        <f>J285&amp;(COUNTIF(J$2:J285,J285))</f>
        <v>Devon7</v>
      </c>
      <c r="C285" t="s">
        <v>165</v>
      </c>
      <c r="D285" t="s">
        <v>165</v>
      </c>
      <c r="E285" s="25" t="s">
        <v>1</v>
      </c>
      <c r="F285" s="25" t="s">
        <v>382</v>
      </c>
      <c r="G285" s="25" t="s">
        <v>5</v>
      </c>
      <c r="H285" s="26" t="s">
        <v>898</v>
      </c>
      <c r="I285" s="27" t="s">
        <v>383</v>
      </c>
      <c r="J285" t="s">
        <v>309</v>
      </c>
      <c r="K285" t="s">
        <v>336</v>
      </c>
    </row>
    <row r="286" spans="1:11" ht="14.4">
      <c r="A286" s="22" t="str">
        <f>F286&amp;(COUNTIFS(F$2:F286,F286,K$2:K286,"Sparse"))</f>
        <v>UA11</v>
      </c>
      <c r="B286" s="22" t="str">
        <f>J286&amp;(COUNTIF(J$2:J286,J286))</f>
        <v>Unitary48</v>
      </c>
      <c r="C286" t="s">
        <v>815</v>
      </c>
      <c r="D286" t="s">
        <v>815</v>
      </c>
      <c r="E286" s="25" t="s">
        <v>369</v>
      </c>
      <c r="F286" s="25" t="s">
        <v>388</v>
      </c>
      <c r="G286" s="25" t="s">
        <v>397</v>
      </c>
      <c r="H286" s="26" t="s">
        <v>894</v>
      </c>
      <c r="I286" s="27" t="s">
        <v>385</v>
      </c>
      <c r="J286" s="3" t="s">
        <v>397</v>
      </c>
    </row>
    <row r="287" spans="1:11" ht="14.4">
      <c r="A287" s="22" t="str">
        <f>F287&amp;(COUNTIFS(F$2:F287,F287,K$2:K287,"Sparse"))</f>
        <v>SD52</v>
      </c>
      <c r="B287" s="22" t="str">
        <f>J287&amp;(COUNTIF(J$2:J287,J287))</f>
        <v>Essex12</v>
      </c>
      <c r="C287" t="s">
        <v>166</v>
      </c>
      <c r="D287" t="s">
        <v>166</v>
      </c>
      <c r="E287" s="25" t="s">
        <v>370</v>
      </c>
      <c r="F287" s="25" t="s">
        <v>382</v>
      </c>
      <c r="G287" s="25" t="s">
        <v>5</v>
      </c>
      <c r="H287" s="26" t="s">
        <v>898</v>
      </c>
      <c r="I287" s="27" t="s">
        <v>383</v>
      </c>
      <c r="J287" t="s">
        <v>312</v>
      </c>
    </row>
    <row r="288" spans="1:11" ht="14.4">
      <c r="A288" s="22" t="str">
        <f>F288&amp;(COUNTIFS(F$2:F288,F288,K$2:K288,"Sparse"))</f>
        <v>SD52</v>
      </c>
      <c r="B288" s="22" t="str">
        <f>J288&amp;(COUNTIF(J$2:J288,J288))</f>
        <v>Hampshire11</v>
      </c>
      <c r="C288" t="s">
        <v>167</v>
      </c>
      <c r="D288" t="s">
        <v>167</v>
      </c>
      <c r="E288" s="25" t="s">
        <v>0</v>
      </c>
      <c r="F288" s="25" t="s">
        <v>382</v>
      </c>
      <c r="G288" s="25" t="s">
        <v>5</v>
      </c>
      <c r="H288" s="26" t="s">
        <v>897</v>
      </c>
      <c r="I288" s="27" t="s">
        <v>372</v>
      </c>
      <c r="J288" t="s">
        <v>314</v>
      </c>
    </row>
    <row r="289" spans="1:11" ht="14.4">
      <c r="A289" s="22" t="str">
        <f>F289&amp;(COUNTIFS(F$2:F289,F289,K$2:K289,"Sparse"))</f>
        <v>SD53</v>
      </c>
      <c r="B289" s="22" t="str">
        <f>J289&amp;(COUNTIF(J$2:J289,J289))</f>
        <v>Gloucestershire7</v>
      </c>
      <c r="C289" t="s">
        <v>168</v>
      </c>
      <c r="D289" t="s">
        <v>168</v>
      </c>
      <c r="E289" s="25" t="s">
        <v>1</v>
      </c>
      <c r="F289" s="25" t="s">
        <v>382</v>
      </c>
      <c r="G289" s="25" t="s">
        <v>5</v>
      </c>
      <c r="H289" s="26" t="s">
        <v>898</v>
      </c>
      <c r="I289" s="27" t="s">
        <v>383</v>
      </c>
      <c r="J289" t="s">
        <v>313</v>
      </c>
      <c r="K289" t="s">
        <v>336</v>
      </c>
    </row>
    <row r="290" spans="1:11" ht="14.4">
      <c r="A290" s="22" t="str">
        <f>F290&amp;(COUNTIFS(F$2:F290,F290,K$2:K290,"Sparse"))</f>
        <v>SD53</v>
      </c>
      <c r="B290" s="22" t="str">
        <f>J290&amp;(COUNTIF(J$2:J290,J290))</f>
        <v>Kent11</v>
      </c>
      <c r="C290" t="s">
        <v>169</v>
      </c>
      <c r="D290" t="s">
        <v>169</v>
      </c>
      <c r="E290" s="25" t="s">
        <v>0</v>
      </c>
      <c r="F290" s="25" t="s">
        <v>382</v>
      </c>
      <c r="G290" s="25" t="s">
        <v>5</v>
      </c>
      <c r="H290" s="26" t="s">
        <v>894</v>
      </c>
      <c r="I290" s="27" t="s">
        <v>385</v>
      </c>
      <c r="J290" t="s">
        <v>316</v>
      </c>
    </row>
    <row r="291" spans="1:11" ht="14.4">
      <c r="A291" s="22" t="str">
        <f>F291&amp;(COUNTIFS(F$2:F291,F291,K$2:K291,"Sparse"))</f>
        <v>SD53</v>
      </c>
      <c r="B291" s="22" t="str">
        <f>J291&amp;(COUNTIF(J$2:J291,J291))</f>
        <v>Hertfordshire9</v>
      </c>
      <c r="C291" t="s">
        <v>170</v>
      </c>
      <c r="D291" t="s">
        <v>170</v>
      </c>
      <c r="E291" s="25" t="s">
        <v>370</v>
      </c>
      <c r="F291" s="25" t="s">
        <v>382</v>
      </c>
      <c r="G291" s="25" t="s">
        <v>5</v>
      </c>
      <c r="H291" s="26" t="s">
        <v>899</v>
      </c>
      <c r="I291" s="27" t="s">
        <v>385</v>
      </c>
      <c r="J291" t="s">
        <v>315</v>
      </c>
    </row>
    <row r="292" spans="1:11" ht="14.4">
      <c r="A292" s="22" t="str">
        <f>F292&amp;(COUNTIFS(F$2:F292,F292,K$2:K292,"Sparse"))</f>
        <v>UA11</v>
      </c>
      <c r="B292" s="22" t="str">
        <f>J292&amp;(COUNTIF(J$2:J292,J292))</f>
        <v>Unitary49</v>
      </c>
      <c r="C292" t="s">
        <v>294</v>
      </c>
      <c r="D292" t="s">
        <v>294</v>
      </c>
      <c r="E292" s="25" t="s">
        <v>370</v>
      </c>
      <c r="F292" s="25" t="s">
        <v>388</v>
      </c>
      <c r="G292" s="25" t="s">
        <v>397</v>
      </c>
      <c r="H292" s="26" t="s">
        <v>899</v>
      </c>
      <c r="I292" s="27" t="s">
        <v>385</v>
      </c>
      <c r="J292" s="3" t="s">
        <v>397</v>
      </c>
    </row>
    <row r="293" spans="1:11" ht="14.4">
      <c r="A293" s="22" t="str">
        <f>F293&amp;(COUNTIFS(F$2:F293,F293,K$2:K293,"Sparse"))</f>
        <v>SD53</v>
      </c>
      <c r="B293" s="22" t="str">
        <f>J293&amp;(COUNTIF(J$2:J293,J293))</f>
        <v>Kent12</v>
      </c>
      <c r="C293" t="s">
        <v>351</v>
      </c>
      <c r="D293" t="s">
        <v>351</v>
      </c>
      <c r="E293" s="25" t="s">
        <v>0</v>
      </c>
      <c r="F293" s="25" t="s">
        <v>382</v>
      </c>
      <c r="G293" s="25" t="s">
        <v>5</v>
      </c>
      <c r="H293" s="26" t="s">
        <v>897</v>
      </c>
      <c r="I293" s="27" t="s">
        <v>372</v>
      </c>
      <c r="J293" t="s">
        <v>316</v>
      </c>
    </row>
    <row r="294" spans="1:11" ht="14.4">
      <c r="A294" s="22" t="str">
        <f>F294&amp;(COUNTIFS(F$2:F294,F294,K$2:K294,"Sparse"))</f>
        <v>UA11</v>
      </c>
      <c r="B294" s="22" t="str">
        <f>J294&amp;(COUNTIF(J$2:J294,J294))</f>
        <v>Unitary50</v>
      </c>
      <c r="C294" t="s">
        <v>295</v>
      </c>
      <c r="D294" t="s">
        <v>295</v>
      </c>
      <c r="E294" s="25" t="s">
        <v>1</v>
      </c>
      <c r="F294" s="25" t="s">
        <v>388</v>
      </c>
      <c r="G294" s="25" t="s">
        <v>397</v>
      </c>
      <c r="H294" s="26" t="s">
        <v>894</v>
      </c>
      <c r="I294" s="27" t="s">
        <v>385</v>
      </c>
      <c r="J294" s="3" t="s">
        <v>397</v>
      </c>
    </row>
    <row r="295" spans="1:11" ht="14.4">
      <c r="A295" s="22" t="str">
        <f>F295&amp;(COUNTIFS(F$2:F295,F295,K$2:K295,"Sparse"))</f>
        <v>SD54</v>
      </c>
      <c r="B295" s="22" t="str">
        <f>J295&amp;(COUNTIF(J$2:J295,J295))</f>
        <v>Devon8</v>
      </c>
      <c r="C295" t="s">
        <v>171</v>
      </c>
      <c r="D295" t="s">
        <v>171</v>
      </c>
      <c r="E295" s="25" t="s">
        <v>1</v>
      </c>
      <c r="F295" s="25" t="s">
        <v>382</v>
      </c>
      <c r="G295" s="25" t="s">
        <v>5</v>
      </c>
      <c r="H295" s="26" t="s">
        <v>895</v>
      </c>
      <c r="I295" s="27" t="s">
        <v>383</v>
      </c>
      <c r="J295" t="s">
        <v>309</v>
      </c>
      <c r="K295" t="s">
        <v>336</v>
      </c>
    </row>
    <row r="296" spans="1:11" ht="14.4">
      <c r="A296" s="22" t="str">
        <f>F296&amp;(COUNTIFS(F$2:F296,F296,K$2:K296,"Sparse"))</f>
        <v>L0</v>
      </c>
      <c r="B296" s="22" t="str">
        <f>J296&amp;(COUNTIF(J$2:J296,J296))</f>
        <v>London30</v>
      </c>
      <c r="C296" t="s">
        <v>220</v>
      </c>
      <c r="D296" t="s">
        <v>220</v>
      </c>
      <c r="E296" s="25" t="s">
        <v>384</v>
      </c>
      <c r="F296" s="25" t="s">
        <v>360</v>
      </c>
      <c r="G296" s="25" t="s">
        <v>384</v>
      </c>
      <c r="H296" s="26" t="s">
        <v>899</v>
      </c>
      <c r="I296" s="27" t="s">
        <v>385</v>
      </c>
      <c r="J296" t="str">
        <f>G296</f>
        <v>London</v>
      </c>
    </row>
    <row r="297" spans="1:11" ht="14.4">
      <c r="A297" s="22" t="str">
        <f>F297&amp;(COUNTIFS(F$2:F297,F297,K$2:K297,"Sparse"))</f>
        <v>MD0</v>
      </c>
      <c r="B297" s="22" t="str">
        <f>J297&amp;(COUNTIF(J$2:J297,J297))</f>
        <v>Trafford1</v>
      </c>
      <c r="C297" t="s">
        <v>253</v>
      </c>
      <c r="D297" t="s">
        <v>253</v>
      </c>
      <c r="E297" s="25" t="s">
        <v>377</v>
      </c>
      <c r="F297" s="25" t="s">
        <v>387</v>
      </c>
      <c r="G297" s="25" t="s">
        <v>398</v>
      </c>
      <c r="H297" s="26" t="s">
        <v>899</v>
      </c>
      <c r="I297" s="27" t="s">
        <v>385</v>
      </c>
      <c r="J297" t="str">
        <f>C297</f>
        <v>Trafford</v>
      </c>
    </row>
    <row r="298" spans="1:11" ht="14.4">
      <c r="A298" s="22" t="str">
        <f>F298&amp;(COUNTIFS(F$2:F298,F298,K$2:K298,"Sparse"))</f>
        <v>SD54</v>
      </c>
      <c r="B298" s="22" t="str">
        <f>J298&amp;(COUNTIF(J$2:J298,J298))</f>
        <v>Kent13</v>
      </c>
      <c r="C298" t="s">
        <v>172</v>
      </c>
      <c r="D298" t="s">
        <v>172</v>
      </c>
      <c r="E298" s="25" t="s">
        <v>0</v>
      </c>
      <c r="F298" s="25" t="s">
        <v>382</v>
      </c>
      <c r="G298" s="25" t="s">
        <v>5</v>
      </c>
      <c r="H298" s="26" t="s">
        <v>897</v>
      </c>
      <c r="I298" s="27" t="s">
        <v>372</v>
      </c>
      <c r="J298" t="s">
        <v>316</v>
      </c>
    </row>
    <row r="299" spans="1:11" ht="14.4">
      <c r="A299" s="22" t="str">
        <f>F299&amp;(COUNTIFS(F$2:F299,F299,K$2:K299,"Sparse"))</f>
        <v>SD55</v>
      </c>
      <c r="B299" s="22" t="str">
        <f>J299&amp;(COUNTIF(J$2:J299,J299))</f>
        <v>Essex13</v>
      </c>
      <c r="C299" t="s">
        <v>173</v>
      </c>
      <c r="D299" t="s">
        <v>173</v>
      </c>
      <c r="E299" s="25" t="s">
        <v>370</v>
      </c>
      <c r="F299" s="25" t="s">
        <v>382</v>
      </c>
      <c r="G299" s="25" t="s">
        <v>5</v>
      </c>
      <c r="H299" s="26" t="s">
        <v>895</v>
      </c>
      <c r="I299" s="27" t="s">
        <v>383</v>
      </c>
      <c r="J299" t="s">
        <v>312</v>
      </c>
      <c r="K299" t="s">
        <v>336</v>
      </c>
    </row>
    <row r="300" spans="1:11" ht="14.4">
      <c r="A300" s="22" t="str">
        <f>F300&amp;(COUNTIFS(F$2:F300,F300,K$2:K300,"Sparse"))</f>
        <v>SD56</v>
      </c>
      <c r="B300" s="22" t="str">
        <f>J300&amp;(COUNTIF(J$2:J300,J300))</f>
        <v>Oxfordshire5</v>
      </c>
      <c r="C300" t="s">
        <v>174</v>
      </c>
      <c r="D300" t="s">
        <v>174</v>
      </c>
      <c r="E300" s="25" t="s">
        <v>0</v>
      </c>
      <c r="F300" s="25" t="s">
        <v>382</v>
      </c>
      <c r="G300" s="25" t="s">
        <v>5</v>
      </c>
      <c r="H300" s="26" t="s">
        <v>898</v>
      </c>
      <c r="I300" s="27" t="s">
        <v>383</v>
      </c>
      <c r="J300" t="s">
        <v>325</v>
      </c>
      <c r="K300" t="s">
        <v>336</v>
      </c>
    </row>
    <row r="301" spans="1:11" ht="14.4">
      <c r="A301" s="22" t="str">
        <f>F301&amp;(COUNTIFS(F$2:F301,F301,K$2:K301,"Sparse"))</f>
        <v>MD0</v>
      </c>
      <c r="B301" s="22" t="str">
        <f>J301&amp;(COUNTIF(J$2:J301,J301))</f>
        <v>Wakefield1</v>
      </c>
      <c r="C301" t="s">
        <v>254</v>
      </c>
      <c r="D301" t="s">
        <v>254</v>
      </c>
      <c r="E301" s="25" t="s">
        <v>386</v>
      </c>
      <c r="F301" s="25" t="s">
        <v>387</v>
      </c>
      <c r="G301" s="25" t="s">
        <v>398</v>
      </c>
      <c r="H301" s="26" t="s">
        <v>894</v>
      </c>
      <c r="I301" s="27" t="s">
        <v>385</v>
      </c>
      <c r="J301" t="str">
        <f>C301</f>
        <v>Wakefield</v>
      </c>
    </row>
    <row r="302" spans="1:11" ht="14.4">
      <c r="A302" s="22" t="str">
        <f>F302&amp;(COUNTIFS(F$2:F302,F302,K$2:K302,"Sparse"))</f>
        <v>MD0</v>
      </c>
      <c r="B302" s="22" t="str">
        <f>J302&amp;(COUNTIF(J$2:J302,J302))</f>
        <v>Walsall1</v>
      </c>
      <c r="C302" t="s">
        <v>255</v>
      </c>
      <c r="D302" t="s">
        <v>255</v>
      </c>
      <c r="E302" s="25" t="s">
        <v>369</v>
      </c>
      <c r="F302" s="25" t="s">
        <v>387</v>
      </c>
      <c r="G302" s="25" t="s">
        <v>398</v>
      </c>
      <c r="H302" s="26" t="s">
        <v>899</v>
      </c>
      <c r="I302" s="27" t="s">
        <v>385</v>
      </c>
      <c r="J302" t="str">
        <f>C302</f>
        <v>Walsall</v>
      </c>
    </row>
    <row r="303" spans="1:11" ht="14.4">
      <c r="A303" s="22" t="str">
        <f>F303&amp;(COUNTIFS(F$2:F303,F303,K$2:K303,"Sparse"))</f>
        <v>L0</v>
      </c>
      <c r="B303" s="22" t="str">
        <f>J303&amp;(COUNTIF(J$2:J303,J303))</f>
        <v>London31</v>
      </c>
      <c r="C303" t="s">
        <v>221</v>
      </c>
      <c r="D303" t="s">
        <v>221</v>
      </c>
      <c r="E303" s="25" t="s">
        <v>384</v>
      </c>
      <c r="F303" s="25" t="s">
        <v>360</v>
      </c>
      <c r="G303" s="25" t="s">
        <v>384</v>
      </c>
      <c r="H303" s="26" t="s">
        <v>899</v>
      </c>
      <c r="I303" s="27" t="s">
        <v>385</v>
      </c>
      <c r="J303" t="str">
        <f>G303</f>
        <v>London</v>
      </c>
    </row>
    <row r="304" spans="1:11" ht="14.4">
      <c r="A304" s="22" t="str">
        <f>F304&amp;(COUNTIFS(F$2:F304,F304,K$2:K304,"Sparse"))</f>
        <v>L0</v>
      </c>
      <c r="B304" s="22" t="str">
        <f>J304&amp;(COUNTIF(J$2:J304,J304))</f>
        <v>London32</v>
      </c>
      <c r="C304" t="s">
        <v>222</v>
      </c>
      <c r="D304" t="s">
        <v>222</v>
      </c>
      <c r="E304" s="25" t="s">
        <v>384</v>
      </c>
      <c r="F304" s="25" t="s">
        <v>360</v>
      </c>
      <c r="G304" s="25" t="s">
        <v>384</v>
      </c>
      <c r="H304" s="26" t="s">
        <v>899</v>
      </c>
      <c r="I304" s="27" t="s">
        <v>385</v>
      </c>
      <c r="J304" t="str">
        <f>G304</f>
        <v>London</v>
      </c>
    </row>
    <row r="305" spans="1:11" ht="14.4">
      <c r="A305" s="22" t="str">
        <f>F305&amp;(COUNTIFS(F$2:F305,F305,K$2:K305,"Sparse"))</f>
        <v>UA11</v>
      </c>
      <c r="B305" s="22" t="str">
        <f>J305&amp;(COUNTIF(J$2:J305,J305))</f>
        <v>Unitary51</v>
      </c>
      <c r="C305" t="s">
        <v>296</v>
      </c>
      <c r="D305" t="s">
        <v>296</v>
      </c>
      <c r="E305" s="25" t="s">
        <v>377</v>
      </c>
      <c r="F305" s="25" t="s">
        <v>388</v>
      </c>
      <c r="G305" s="25" t="s">
        <v>397</v>
      </c>
      <c r="H305" s="26" t="s">
        <v>894</v>
      </c>
      <c r="I305" s="27" t="s">
        <v>385</v>
      </c>
      <c r="J305" s="3" t="s">
        <v>397</v>
      </c>
    </row>
    <row r="306" spans="1:11" ht="14.4">
      <c r="A306" s="22" t="str">
        <f>F306&amp;(COUNTIFS(F$2:F306,F306,K$2:K306,"Sparse"))</f>
        <v>SD56</v>
      </c>
      <c r="B306" s="22" t="str">
        <f>J306&amp;(COUNTIF(J$2:J306,J306))</f>
        <v>Warwickshire5</v>
      </c>
      <c r="C306" t="s">
        <v>175</v>
      </c>
      <c r="D306" t="s">
        <v>175</v>
      </c>
      <c r="E306" s="25" t="s">
        <v>369</v>
      </c>
      <c r="F306" s="25" t="s">
        <v>382</v>
      </c>
      <c r="G306" s="25" t="s">
        <v>5</v>
      </c>
      <c r="H306" s="26" t="s">
        <v>894</v>
      </c>
      <c r="I306" s="27" t="s">
        <v>385</v>
      </c>
      <c r="J306" t="s">
        <v>331</v>
      </c>
    </row>
    <row r="307" spans="1:11" ht="14.4">
      <c r="A307" s="22" t="str">
        <f>F307&amp;(COUNTIFS(F$2:F307,F307,K$2:K307,"Sparse"))</f>
        <v>SC10</v>
      </c>
      <c r="B307" s="22" t="str">
        <f>J307&amp;(COUNTIF(J$2:J307,J307))</f>
        <v>Warwickshire6</v>
      </c>
      <c r="C307" s="27" t="s">
        <v>331</v>
      </c>
      <c r="D307" s="27" t="s">
        <v>331</v>
      </c>
      <c r="E307" s="25" t="s">
        <v>369</v>
      </c>
      <c r="F307" s="25" t="s">
        <v>390</v>
      </c>
      <c r="G307" s="25" t="s">
        <v>302</v>
      </c>
      <c r="H307" s="27" t="s">
        <v>372</v>
      </c>
      <c r="I307" s="27" t="s">
        <v>372</v>
      </c>
      <c r="J307" t="str">
        <f>C307</f>
        <v>Warwickshire</v>
      </c>
    </row>
    <row r="308" spans="1:11" ht="14.4">
      <c r="A308" s="22" t="str">
        <f>F308&amp;(COUNTIFS(F$2:F308,F308,K$2:K308,"Sparse"))</f>
        <v>SD56</v>
      </c>
      <c r="B308" s="22" t="str">
        <f>J308&amp;(COUNTIF(J$2:J308,J308))</f>
        <v>Hertfordshire10</v>
      </c>
      <c r="C308" t="s">
        <v>176</v>
      </c>
      <c r="D308" t="s">
        <v>176</v>
      </c>
      <c r="E308" s="25" t="s">
        <v>370</v>
      </c>
      <c r="F308" s="25" t="s">
        <v>382</v>
      </c>
      <c r="G308" s="25" t="s">
        <v>5</v>
      </c>
      <c r="H308" s="26" t="s">
        <v>899</v>
      </c>
      <c r="I308" s="27" t="s">
        <v>385</v>
      </c>
      <c r="J308" t="s">
        <v>315</v>
      </c>
    </row>
    <row r="309" spans="1:11" ht="14.4">
      <c r="A309" s="22" t="str">
        <f>F309&amp;(COUNTIFS(F$2:F309,F309,K$2:K309,"Sparse"))</f>
        <v>SD56</v>
      </c>
      <c r="B309" s="22" t="str">
        <f>J309&amp;(COUNTIF(J$2:J309,J309))</f>
        <v>Surrey11</v>
      </c>
      <c r="C309" t="s">
        <v>178</v>
      </c>
      <c r="D309" t="s">
        <v>178</v>
      </c>
      <c r="E309" s="25" t="s">
        <v>0</v>
      </c>
      <c r="F309" s="25" t="s">
        <v>382</v>
      </c>
      <c r="G309" s="25" t="s">
        <v>5</v>
      </c>
      <c r="H309" s="26" t="s">
        <v>898</v>
      </c>
      <c r="I309" s="27" t="s">
        <v>383</v>
      </c>
      <c r="J309" t="s">
        <v>330</v>
      </c>
    </row>
    <row r="310" spans="1:11" ht="14.4">
      <c r="A310" s="22" t="str">
        <f>F310&amp;(COUNTIFS(F$2:F310,F310,K$2:K310,"Sparse"))</f>
        <v>SD57</v>
      </c>
      <c r="B310" s="22" t="str">
        <f>J310&amp;(COUNTIF(J$2:J310,J310))</f>
        <v>East Sussex6</v>
      </c>
      <c r="C310" t="s">
        <v>179</v>
      </c>
      <c r="D310" t="s">
        <v>179</v>
      </c>
      <c r="E310" s="25" t="s">
        <v>0</v>
      </c>
      <c r="F310" s="25" t="s">
        <v>382</v>
      </c>
      <c r="G310" s="25" t="s">
        <v>5</v>
      </c>
      <c r="H310" s="26" t="s">
        <v>895</v>
      </c>
      <c r="I310" s="27" t="s">
        <v>383</v>
      </c>
      <c r="J310" t="s">
        <v>311</v>
      </c>
      <c r="K310" t="s">
        <v>336</v>
      </c>
    </row>
    <row r="311" spans="1:11" ht="14.4">
      <c r="A311" s="22" t="str">
        <f>F311&amp;(COUNTIFS(F$2:F311,F311,K$2:K311,"Sparse"))</f>
        <v>SD57</v>
      </c>
      <c r="B311" s="22" t="str">
        <f>J311&amp;(COUNTIF(J$2:J311,J311))</f>
        <v>Hertfordshire11</v>
      </c>
      <c r="C311" t="s">
        <v>181</v>
      </c>
      <c r="D311" t="s">
        <v>181</v>
      </c>
      <c r="E311" s="25" t="s">
        <v>370</v>
      </c>
      <c r="F311" s="25" t="s">
        <v>382</v>
      </c>
      <c r="G311" s="25" t="s">
        <v>5</v>
      </c>
      <c r="H311" s="26" t="s">
        <v>894</v>
      </c>
      <c r="I311" s="27" t="s">
        <v>385</v>
      </c>
      <c r="J311" t="s">
        <v>315</v>
      </c>
    </row>
    <row r="312" spans="1:11" ht="14.4">
      <c r="A312" s="22" t="str">
        <f>F312&amp;(COUNTIFS(F$2:F312,F312,K$2:K312,"Sparse"))</f>
        <v>UA11</v>
      </c>
      <c r="B312" s="22" t="str">
        <f>J312&amp;(COUNTIF(J$2:J312,J312))</f>
        <v>Unitary52</v>
      </c>
      <c r="C312" t="s">
        <v>297</v>
      </c>
      <c r="D312" t="s">
        <v>297</v>
      </c>
      <c r="E312" s="25" t="s">
        <v>0</v>
      </c>
      <c r="F312" s="25" t="s">
        <v>388</v>
      </c>
      <c r="G312" s="25" t="s">
        <v>397</v>
      </c>
      <c r="H312" s="26" t="s">
        <v>897</v>
      </c>
      <c r="I312" s="27" t="s">
        <v>372</v>
      </c>
      <c r="J312" s="3" t="s">
        <v>397</v>
      </c>
    </row>
    <row r="313" spans="1:11" ht="14.4">
      <c r="A313" s="22" t="str">
        <f>F313&amp;(COUNTIFS(F$2:F313,F313,K$2:K313,"Sparse"))</f>
        <v>SD58</v>
      </c>
      <c r="B313" s="22" t="str">
        <f>J313&amp;(COUNTIF(J$2:J313,J313))</f>
        <v>Devon9</v>
      </c>
      <c r="C313" t="s">
        <v>182</v>
      </c>
      <c r="D313" t="s">
        <v>182</v>
      </c>
      <c r="E313" s="25" t="s">
        <v>1</v>
      </c>
      <c r="F313" s="25" t="s">
        <v>382</v>
      </c>
      <c r="G313" s="25" t="s">
        <v>5</v>
      </c>
      <c r="H313" s="26" t="s">
        <v>895</v>
      </c>
      <c r="I313" s="27" t="s">
        <v>383</v>
      </c>
      <c r="J313" t="s">
        <v>309</v>
      </c>
      <c r="K313" t="s">
        <v>336</v>
      </c>
    </row>
    <row r="314" spans="1:11" ht="14.4">
      <c r="A314" s="22" t="str">
        <f>F314&amp;(COUNTIFS(F$2:F314,F314,K$2:K314,"Sparse"))</f>
        <v>SD58</v>
      </c>
      <c r="B314" s="22" t="str">
        <f>J314&amp;(COUNTIF(J$2:J314,J314))</f>
        <v>Lancashire12</v>
      </c>
      <c r="C314" t="s">
        <v>184</v>
      </c>
      <c r="D314" t="s">
        <v>184</v>
      </c>
      <c r="E314" s="25" t="s">
        <v>377</v>
      </c>
      <c r="F314" s="25" t="s">
        <v>382</v>
      </c>
      <c r="G314" s="25" t="s">
        <v>5</v>
      </c>
      <c r="H314" s="26" t="s">
        <v>897</v>
      </c>
      <c r="I314" s="27" t="s">
        <v>372</v>
      </c>
      <c r="J314" t="s">
        <v>317</v>
      </c>
    </row>
    <row r="315" spans="1:11" ht="14.4">
      <c r="A315" s="22" t="str">
        <f>F315&amp;(COUNTIFS(F$2:F315,F315,K$2:K315,"Sparse"))</f>
        <v>SD59</v>
      </c>
      <c r="B315" s="22" t="str">
        <f>J315&amp;(COUNTIF(J$2:J315,J315))</f>
        <v>Lincolnshire8</v>
      </c>
      <c r="C315" t="s">
        <v>185</v>
      </c>
      <c r="D315" t="s">
        <v>185</v>
      </c>
      <c r="E315" s="25" t="s">
        <v>368</v>
      </c>
      <c r="F315" s="25" t="s">
        <v>382</v>
      </c>
      <c r="G315" s="25" t="s">
        <v>5</v>
      </c>
      <c r="H315" s="26" t="s">
        <v>895</v>
      </c>
      <c r="I315" s="27" t="s">
        <v>383</v>
      </c>
      <c r="J315" t="s">
        <v>319</v>
      </c>
      <c r="K315" t="s">
        <v>336</v>
      </c>
    </row>
    <row r="316" spans="1:11" ht="14.4">
      <c r="A316" s="22" t="str">
        <f>F316&amp;(COUNTIFS(F$2:F316,F316,K$2:K316,"Sparse"))</f>
        <v>UA12</v>
      </c>
      <c r="B316" s="22" t="str">
        <f>J316&amp;(COUNTIF(J$2:J316,J316))</f>
        <v>Unitary53</v>
      </c>
      <c r="C316" t="s">
        <v>906</v>
      </c>
      <c r="D316" t="s">
        <v>906</v>
      </c>
      <c r="E316" s="25" t="s">
        <v>368</v>
      </c>
      <c r="F316" s="25" t="s">
        <v>388</v>
      </c>
      <c r="G316" s="25" t="s">
        <v>397</v>
      </c>
      <c r="H316" s="26" t="s">
        <v>897</v>
      </c>
      <c r="I316" s="27" t="s">
        <v>372</v>
      </c>
      <c r="J316" s="3" t="s">
        <v>397</v>
      </c>
      <c r="K316" t="s">
        <v>336</v>
      </c>
    </row>
    <row r="317" spans="1:11" ht="14.4">
      <c r="A317" s="22" t="str">
        <f>F317&amp;(COUNTIFS(F$2:F317,F317,K$2:K317,"Sparse"))</f>
        <v>SD60</v>
      </c>
      <c r="B317" s="22" t="str">
        <f>J317&amp;(COUNTIF(J$2:J317,J317))</f>
        <v>Oxfordshire6</v>
      </c>
      <c r="C317" t="s">
        <v>186</v>
      </c>
      <c r="D317" t="s">
        <v>186</v>
      </c>
      <c r="E317" s="25" t="s">
        <v>0</v>
      </c>
      <c r="F317" s="25" t="s">
        <v>382</v>
      </c>
      <c r="G317" s="25" t="s">
        <v>5</v>
      </c>
      <c r="H317" s="26" t="s">
        <v>895</v>
      </c>
      <c r="I317" s="27" t="s">
        <v>383</v>
      </c>
      <c r="J317" t="s">
        <v>325</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899</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899</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898</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898</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894</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899</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899</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894</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899</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894</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894</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895</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898</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897</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894</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e">
        <f>VLOOKUP(C173,classifications!C:F,4,FALSE)</f>
        <v>#N/A</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e">
        <f>VLOOKUP(C339,classifications!C:F,4,FALSE)</f>
        <v>#N/A</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25"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888</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2" t="s">
        <v>858</v>
      </c>
      <c r="G20" s="302"/>
      <c r="H20" s="183" t="s">
        <v>802</v>
      </c>
      <c r="I20" s="184" t="s">
        <v>794</v>
      </c>
    </row>
    <row r="21" spans="1:12">
      <c r="C21" s="181"/>
      <c r="E21" s="196" t="s">
        <v>850</v>
      </c>
      <c r="F21" s="302"/>
      <c r="G21" s="302"/>
      <c r="H21" s="7" t="s">
        <v>812</v>
      </c>
      <c r="I21" s="9" t="s">
        <v>823</v>
      </c>
    </row>
    <row r="22" spans="1:12" ht="36">
      <c r="C22" s="181"/>
      <c r="E22" s="197" t="s">
        <v>851</v>
      </c>
      <c r="F22" s="302"/>
      <c r="G22" s="302"/>
    </row>
    <row r="23" spans="1:12">
      <c r="C23" s="181"/>
      <c r="E23" s="198">
        <v>87</v>
      </c>
      <c r="F23" s="302"/>
      <c r="G23" s="302"/>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5" ma:contentTypeDescription="Create a new document." ma:contentTypeScope="" ma:versionID="ed5f596e56301535390d14966e0d1205">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04f606cc9299ea09a92073487e302fa9"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Props1.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2.xml><?xml version="1.0" encoding="utf-8"?>
<ds:datastoreItem xmlns:ds="http://schemas.openxmlformats.org/officeDocument/2006/customXml" ds:itemID="{86E36B83-8856-4385-843F-5CD99171F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a3b07-a5d4-4e6d-ab17-c6ed1d1ed637"/>
    <ds:schemaRef ds:uri="9b5c2d67-6ba8-4909-8871-d66aad70e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 ds:uri="70ca3b07-a5d4-4e6d-ab17-c6ed1d1ed637"/>
    <ds:schemaRef ds:uri="9b5c2d67-6ba8-4909-8871-d66aad70ec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dcterms:created xsi:type="dcterms:W3CDTF">2016-07-11T14:48:21Z</dcterms:created>
  <dcterms:modified xsi:type="dcterms:W3CDTF">2024-04-22T14:46:15Z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0x010100B9BF68E939648E41A7AD205F45E1D06E</vt:lpwstr>
  </property>
  <property fmtid="{D5CDD505-2E9C-101B-9397-08002B2CF9AE}" pid="4" name="MediaServiceImageTags">
    <vt:lpwstr/>
  </property>
</Properties>
</file>