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Documents/290622/"/>
    </mc:Choice>
  </mc:AlternateContent>
  <xr:revisionPtr revIDLastSave="49" documentId="8_{38AF268F-1C46-4A3B-9CF6-3DBBC99482F0}" xr6:coauthVersionLast="47" xr6:coauthVersionMax="47" xr10:uidLastSave="{AD570843-5BB5-48A4-AA2A-8C37838BA74F}"/>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<sst xmlns="http://schemas.openxmlformats.org/spreadsheetml/2006/main" count="32859" uniqueCount="1676">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</sst>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Allerdale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23.63</c:v>
                </c:pt>
                <c:pt idx="1">
                  <c:v>23.33</c:v>
                </c:pt>
                <c:pt idx="2">
                  <c:v>23.43</c:v>
                </c:pt>
                <c:pt idx="3">
                  <c:v>23.52</c:v>
                </c:pt>
                <c:pt idx="4">
                  <c:v>23.67</c:v>
                </c:pt>
                <c:pt idx="5">
                  <c:v>24.07</c:v>
                </c:pt>
                <c:pt idx="6">
                  <c:v>24.04</c:v>
                </c:pt>
                <c:pt idx="7">
                  <c:v>24.53</c:v>
                </c:pt>
                <c:pt idx="8">
                  <c:v>25.65</c:v>
                </c:pt>
                <c:pt idx="9">
                  <c:v>27.42</c:v>
                </c:pt>
                <c:pt idx="10">
                  <c:v>28.55</c:v>
                </c:pt>
                <c:pt idx="11">
                  <c:v>28.87</c:v>
                </c:pt>
                <c:pt idx="12">
                  <c:v>28.5</c:v>
                </c:pt>
                <c:pt idx="13">
                  <c:v>27.77</c:v>
                </c:pt>
                <c:pt idx="14">
                  <c:v>27.12</c:v>
                </c:pt>
                <c:pt idx="15">
                  <c:v>26.64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Allerdale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413.9</c:v>
                </c:pt>
                <c:pt idx="1">
                  <c:v>406.2</c:v>
                </c:pt>
                <c:pt idx="2">
                  <c:v>446.1</c:v>
                </c:pt>
                <c:pt idx="3">
                  <c:v>387.4</c:v>
                </c:pt>
                <c:pt idx="4">
                  <c:v>397.4</c:v>
                </c:pt>
                <c:pt idx="5">
                  <c:v>445.1</c:v>
                </c:pt>
                <c:pt idx="6">
                  <c:v>438.4</c:v>
                </c:pt>
                <c:pt idx="7">
                  <c:v>433.6</c:v>
                </c:pt>
                <c:pt idx="8">
                  <c:v>475.2</c:v>
                </c:pt>
                <c:pt idx="9">
                  <c:v>461.9</c:v>
                </c:pt>
                <c:pt idx="10">
                  <c:v>469.8</c:v>
                </c:pt>
                <c:pt idx="11">
                  <c:v>495.8</c:v>
                </c:pt>
                <c:pt idx="12">
                  <c:v>506.7</c:v>
                </c:pt>
                <c:pt idx="13">
                  <c:v>513.6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Allerdale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70.2</c:v>
                </c:pt>
                <c:pt idx="1">
                  <c:v>74.2</c:v>
                </c:pt>
                <c:pt idx="2">
                  <c:v>71.2</c:v>
                </c:pt>
                <c:pt idx="3">
                  <c:v>78.5</c:v>
                </c:pt>
                <c:pt idx="4">
                  <c:v>74.7</c:v>
                </c:pt>
                <c:pt idx="5">
                  <c:v>71.2</c:v>
                </c:pt>
                <c:pt idx="6">
                  <c:v>75.5</c:v>
                </c:pt>
                <c:pt idx="7">
                  <c:v>68.2</c:v>
                </c:pt>
                <c:pt idx="8">
                  <c:v>73.099999999999994</c:v>
                </c:pt>
                <c:pt idx="9">
                  <c:v>75.400000000000006</c:v>
                </c:pt>
                <c:pt idx="10">
                  <c:v>73.7</c:v>
                </c:pt>
                <c:pt idx="11">
                  <c:v>80.2</c:v>
                </c:pt>
                <c:pt idx="12">
                  <c:v>82.8</c:v>
                </c:pt>
                <c:pt idx="13">
                  <c:v>77.099999999999994</c:v>
                </c:pt>
                <c:pt idx="14">
                  <c:v>79.5</c:v>
                </c:pt>
                <c:pt idx="15">
                  <c:v>83.7</c:v>
                </c:pt>
                <c:pt idx="16">
                  <c:v>80</c:v>
                </c:pt>
                <c:pt idx="17">
                  <c:v>74.8</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Allerdale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12834</c:v>
                </c:pt>
                <c:pt idx="1">
                  <c:v>13301</c:v>
                </c:pt>
                <c:pt idx="2">
                  <c:v>13817</c:v>
                </c:pt>
                <c:pt idx="3">
                  <c:v>14687</c:v>
                </c:pt>
                <c:pt idx="4">
                  <c:v>14874</c:v>
                </c:pt>
                <c:pt idx="5">
                  <c:v>15144</c:v>
                </c:pt>
                <c:pt idx="6">
                  <c:v>15614</c:v>
                </c:pt>
                <c:pt idx="7">
                  <c:v>15757</c:v>
                </c:pt>
                <c:pt idx="8">
                  <c:v>16643</c:v>
                </c:pt>
                <c:pt idx="9">
                  <c:v>16906</c:v>
                </c:pt>
                <c:pt idx="10">
                  <c:v>17316</c:v>
                </c:pt>
                <c:pt idx="11">
                  <c:v>18084</c:v>
                </c:pt>
                <c:pt idx="12">
                  <c:v>18129</c:v>
                </c:pt>
                <c:pt idx="13">
                  <c:v>18448</c:v>
                </c:pt>
                <c:pt idx="14">
                  <c:v>18661</c:v>
                </c:pt>
                <c:pt idx="15">
                  <c:v>18968</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Allerdale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32.6</c:v>
                </c:pt>
                <c:pt idx="1">
                  <c:v>30</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Allerdale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26.5</c:v>
                </c:pt>
                <c:pt idx="1">
                  <c:v>22.6</c:v>
                </c:pt>
                <c:pt idx="2">
                  <c:v>25.6</c:v>
                </c:pt>
                <c:pt idx="3">
                  <c:v>19.399999999999999</c:v>
                </c:pt>
                <c:pt idx="4">
                  <c:v>24.2</c:v>
                </c:pt>
                <c:pt idx="5">
                  <c:v>25.6</c:v>
                </c:pt>
                <c:pt idx="6">
                  <c:v>19</c:v>
                </c:pt>
                <c:pt idx="7">
                  <c:v>24.1</c:v>
                </c:pt>
                <c:pt idx="8">
                  <c:v>20.2</c:v>
                </c:pt>
                <c:pt idx="9">
                  <c:v>18.399999999999999</c:v>
                </c:pt>
                <c:pt idx="10">
                  <c:v>21.4</c:v>
                </c:pt>
                <c:pt idx="11">
                  <c:v>17.3</c:v>
                </c:pt>
                <c:pt idx="12">
                  <c:v>14.8</c:v>
                </c:pt>
                <c:pt idx="13">
                  <c:v>20</c:v>
                </c:pt>
                <c:pt idx="14">
                  <c:v>19.3</c:v>
                </c:pt>
                <c:pt idx="15">
                  <c:v>13.3</c:v>
                </c:pt>
                <c:pt idx="16">
                  <c:v>17.2</c:v>
                </c:pt>
                <c:pt idx="17">
                  <c:v>21.3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Allerdale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29.5</c:v>
                </c:pt>
                <c:pt idx="1">
                  <c:v>26.5</c:v>
                </c:pt>
                <c:pt idx="2">
                  <c:v>25.800000000000004</c:v>
                </c:pt>
                <c:pt idx="3">
                  <c:v>39.700000000000003</c:v>
                </c:pt>
                <c:pt idx="4">
                  <c:v>31.299999999999997</c:v>
                </c:pt>
                <c:pt idx="5">
                  <c:v>20.5</c:v>
                </c:pt>
                <c:pt idx="6">
                  <c:v>22.200000000000003</c:v>
                </c:pt>
                <c:pt idx="7">
                  <c:v>36.1</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Allerdale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13.292077162702906</c:v>
                </c:pt>
                <c:pt idx="1">
                  <c:v>3.3434464589661053</c:v>
                </c:pt>
                <c:pt idx="2">
                  <c:v>5.9440590351100013</c:v>
                </c:pt>
                <c:pt idx="3">
                  <c:v>5.1605723428216947</c:v>
                </c:pt>
                <c:pt idx="4">
                  <c:v>10.440330723205163</c:v>
                </c:pt>
                <c:pt idx="5">
                  <c:v>32.156862745098039</c:v>
                </c:pt>
                <c:pt idx="6">
                  <c:v>9.5142875572469858</c:v>
                </c:pt>
                <c:pt idx="7">
                  <c:v>12.624509078490522</c:v>
                </c:pt>
                <c:pt idx="8">
                  <c:v>30.882839923173723</c:v>
                </c:pt>
                <c:pt idx="9">
                  <c:v>6.2606618901398834</c:v>
                </c:pt>
                <c:pt idx="10">
                  <c:v>0</c:v>
                </c:pt>
                <c:pt idx="11">
                  <c:v>11.409196359526501</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Allerdale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48.399999999999991</c:v>
                </c:pt>
                <c:pt idx="1">
                  <c:v>49.8</c:v>
                </c:pt>
                <c:pt idx="2">
                  <c:v>53.8</c:v>
                </c:pt>
                <c:pt idx="3">
                  <c:v>48.5</c:v>
                </c:pt>
                <c:pt idx="4">
                  <c:v>40.4</c:v>
                </c:pt>
                <c:pt idx="5">
                  <c:v>50.8</c:v>
                </c:pt>
                <c:pt idx="6">
                  <c:v>50.3</c:v>
                </c:pt>
                <c:pt idx="7">
                  <c:v>43.7</c:v>
                </c:pt>
                <c:pt idx="8">
                  <c:v>50</c:v>
                </c:pt>
                <c:pt idx="9">
                  <c:v>52.900000000000006</c:v>
                </c:pt>
                <c:pt idx="10">
                  <c:v>57.300000000000004</c:v>
                </c:pt>
                <c:pt idx="11">
                  <c:v>56.4</c:v>
                </c:pt>
                <c:pt idx="12">
                  <c:v>49.599999999999994</c:v>
                </c:pt>
                <c:pt idx="13">
                  <c:v>51.800000000000004</c:v>
                </c:pt>
                <c:pt idx="14">
                  <c:v>57.70000000000001</c:v>
                </c:pt>
                <c:pt idx="15">
                  <c:v>58.7</c:v>
                </c:pt>
                <c:pt idx="16">
                  <c:v>53.099999999999994</c:v>
                </c:pt>
                <c:pt idx="17">
                  <c:v>54.499999999999993</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579120</xdr:colOff>
      <xdr:row>12</xdr:row>
      <xdr:rowOff>510540</xdr:rowOff>
    </xdr:from>
    <xdr:to>
      <xdr:col>1</xdr:col>
      <xdr:colOff>2560320</xdr:colOff>
      <xdr:row>14</xdr:row>
      <xdr:rowOff>15240</xdr:rowOff>
    </xdr:to>
    <xdr:sp macro="" textlink="">
      <xdr:nvSpPr>
        <xdr:cNvPr id="11" name="TextBox 10">
          <a:extLst>
            <a:ext uri="{FF2B5EF4-FFF2-40B4-BE49-F238E27FC236}">
              <a16:creationId xmlns:a16="http://schemas.microsoft.com/office/drawing/2014/main" id="{93996A17-16D6-3F4A-02F1-D1828CB6DEB3}"/>
            </a:ext>
          </a:extLst>
        </xdr:cNvPr>
        <xdr:cNvSpPr txBox="1"/>
      </xdr:nvSpPr>
      <xdr:spPr>
        <a:xfrm>
          <a:off x="579120" y="34975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in Allerdale peaked in 2015, at this time surpassing the rural average, but remaining below the overall England situation.  Since this time it has decreased taking it below the rural average.  It has since 2004 been consistently lower than the GVA per hour worked for England with the gap widening to its greatest point in 2019.</a:t>
          </a:r>
          <a:endParaRPr lang="en-GB" sz="1100">
            <a:latin typeface="Avenir Next LT Pro" panose="020B0504020202020204" pitchFamily="34" charset="0"/>
          </a:endParaRPr>
        </a:p>
      </xdr:txBody>
    </xdr:sp>
    <xdr:clientData/>
  </xdr:twoCellAnchor>
  <xdr:twoCellAnchor>
    <xdr:from>
      <xdr:col>0</xdr:col>
      <xdr:colOff>617220</xdr:colOff>
      <xdr:row>20</xdr:row>
      <xdr:rowOff>609600</xdr:rowOff>
    </xdr:from>
    <xdr:to>
      <xdr:col>1</xdr:col>
      <xdr:colOff>2598420</xdr:colOff>
      <xdr:row>21</xdr:row>
      <xdr:rowOff>594360</xdr:rowOff>
    </xdr:to>
    <xdr:sp macro="" textlink="">
      <xdr:nvSpPr>
        <xdr:cNvPr id="12" name="TextBox 11">
          <a:extLst>
            <a:ext uri="{FF2B5EF4-FFF2-40B4-BE49-F238E27FC236}">
              <a16:creationId xmlns:a16="http://schemas.microsoft.com/office/drawing/2014/main" id="{40C9AC96-C2E7-4510-AF5E-325C25EF3A1E}"/>
            </a:ext>
          </a:extLst>
        </xdr:cNvPr>
        <xdr:cNvSpPr txBox="1"/>
      </xdr:nvSpPr>
      <xdr:spPr>
        <a:xfrm>
          <a:off x="617220" y="753618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a:t>
          </a:r>
          <a:r>
            <a:rPr lang="en-GB" sz="1100" baseline="0">
              <a:solidFill>
                <a:schemeClr val="dk1"/>
              </a:solidFill>
              <a:effectLst/>
              <a:latin typeface="Avenir Next LT Pro" panose="020B0504020202020204" pitchFamily="34" charset="0"/>
              <a:ea typeface="+mn-ea"/>
              <a:cs typeface="+mn-cs"/>
            </a:rPr>
            <a:t>Allerdale </a:t>
          </a:r>
          <a:r>
            <a:rPr lang="en-GB" sz="1100">
              <a:latin typeface="Avenir Next LT Pro" panose="020B0504020202020204" pitchFamily="34" charset="0"/>
            </a:rPr>
            <a:t>has since 2008</a:t>
          </a:r>
          <a:r>
            <a:rPr lang="en-GB" sz="1100" baseline="0">
              <a:latin typeface="Avenir Next LT Pro" panose="020B0504020202020204" pitchFamily="34" charset="0"/>
            </a:rPr>
            <a:t> seen a gradual increase with some fluctuation between years.  It has been consistently below the pay in England overall and to a lesser extent lower than the rural average which itself is consistently below the England situation.</a:t>
          </a:r>
          <a:endParaRPr lang="en-GB" sz="1100">
            <a:latin typeface="Avenir Next LT Pro" panose="020B0504020202020204" pitchFamily="34" charset="0"/>
          </a:endParaRPr>
        </a:p>
      </xdr:txBody>
    </xdr:sp>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Allerdale has fluctuated over the years taking it at times above and below the England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Allerdale,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Allerdale,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Allerdale's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Allerdale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Allerdale has been less stable and has in certain years been significantly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Allerdale in general has a lower proportion of employed people in skilled employment than seen for 'Rural as a Region'.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topLeftCell="C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270</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Allerdale</v>
      </c>
      <c r="G12" s="88" t="str">
        <f>IFERROR(VLOOKUP(F12,GVA!B244:B552,1,FALSE),VLOOKUP(F12,GVA!B6:C230,2,FALSE))</f>
        <v>Allerdale</v>
      </c>
      <c r="H12" s="89" t="str">
        <f>IF(F12=G12,"",G12)</f>
        <v/>
      </c>
      <c r="I12" s="76">
        <f>IFERROR(VLOOKUP($F12,GVA!$B$7:$S$230,GVA!D$3,FALSE),VLOOKUP($F12,GVA!$B$244:$T$554,GVA!E$3,FALSE))</f>
        <v>23.63</v>
      </c>
      <c r="J12" s="77">
        <f>IFERROR(VLOOKUP($F12,GVA!$B$7:$S$230,GVA!E$3,FALSE),VLOOKUP($F12,GVA!$B$244:$T$554,GVA!F$3,FALSE))</f>
        <v>23.33</v>
      </c>
      <c r="K12" s="77">
        <f>IFERROR(VLOOKUP($F12,GVA!$B$7:$S$230,GVA!F$3,FALSE),VLOOKUP($F12,GVA!$B$244:$T$554,GVA!G$3,FALSE))</f>
        <v>23.43</v>
      </c>
      <c r="L12" s="77">
        <f>IFERROR(VLOOKUP($F12,GVA!$B$7:$S$230,GVA!G$3,FALSE),VLOOKUP($F12,GVA!$B$244:$T$554,GVA!H$3,FALSE))</f>
        <v>23.52</v>
      </c>
      <c r="M12" s="77">
        <f>IFERROR(VLOOKUP($F12,GVA!$B$7:$S$230,GVA!H$3,FALSE),VLOOKUP($F12,GVA!$B$244:$T$554,GVA!I$3,FALSE))</f>
        <v>23.67</v>
      </c>
      <c r="N12" s="77">
        <f>IFERROR(VLOOKUP($F12,GVA!$B$7:$S$230,GVA!I$3,FALSE),VLOOKUP($F12,GVA!$B$244:$T$554,GVA!J$3,FALSE))</f>
        <v>24.07</v>
      </c>
      <c r="O12" s="77">
        <f>IFERROR(VLOOKUP($F12,GVA!$B$7:$S$230,GVA!J$3,FALSE),VLOOKUP($F12,GVA!$B$244:$T$554,GVA!K$3,FALSE))</f>
        <v>24.04</v>
      </c>
      <c r="P12" s="77">
        <f>IFERROR(VLOOKUP($F12,GVA!$B$7:$S$230,GVA!K$3,FALSE),VLOOKUP($F12,GVA!$B$244:$T$554,GVA!L$3,FALSE))</f>
        <v>24.53</v>
      </c>
      <c r="Q12" s="77">
        <f>IFERROR(VLOOKUP($F12,GVA!$B$7:$S$230,GVA!L$3,FALSE),VLOOKUP($F12,GVA!$B$244:$T$554,GVA!M$3,FALSE))</f>
        <v>25.65</v>
      </c>
      <c r="R12" s="77">
        <f>IFERROR(VLOOKUP($F12,GVA!$B$7:$S$230,GVA!M$3,FALSE),VLOOKUP($F12,GVA!$B$244:$T$554,GVA!N$3,FALSE))</f>
        <v>27.42</v>
      </c>
      <c r="S12" s="77">
        <f>IFERROR(VLOOKUP($F12,GVA!$B$7:$S$230,GVA!N$3,FALSE),VLOOKUP($F12,GVA!$B$244:$T$554,GVA!O$3,FALSE))</f>
        <v>28.55</v>
      </c>
      <c r="T12" s="77">
        <f>IFERROR(VLOOKUP($F12,GVA!$B$7:$S$230,GVA!O$3,FALSE),VLOOKUP($F12,GVA!$B$244:$T$554,GVA!P$3,FALSE))</f>
        <v>28.87</v>
      </c>
      <c r="U12" s="77">
        <f>IFERROR(VLOOKUP($F12,GVA!$B$7:$S$230,GVA!P$3,FALSE),VLOOKUP($F12,GVA!$B$244:$T$554,GVA!Q$3,FALSE))</f>
        <v>28.5</v>
      </c>
      <c r="V12" s="77">
        <f>IFERROR(VLOOKUP($F12,GVA!$B$7:$S$230,GVA!Q$3,FALSE),VLOOKUP($F12,GVA!$B$244:$T$554,GVA!R$3,FALSE))</f>
        <v>27.77</v>
      </c>
      <c r="W12" s="77">
        <f>IFERROR(VLOOKUP($F12,GVA!$B$7:$S$230,GVA!R$3,FALSE),VLOOKUP($F12,GVA!$B$244:$T$554,GVA!S$3,FALSE))</f>
        <v>27.12</v>
      </c>
      <c r="X12" s="77">
        <f>IFERROR(VLOOKUP($F12,GVA!$B$7:$S$230,GVA!S$3,FALSE),VLOOKUP($F12,GVA!$B$244:$T$554,GVA!T$3,FALSE))</f>
        <v>26.64</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Allerdale to Rural as a Region</v>
      </c>
      <c r="G15" s="122"/>
      <c r="H15" s="123"/>
      <c r="I15" s="74">
        <f>100*((I12-I13)/I13)</f>
        <v>0.38182029665671335</v>
      </c>
      <c r="J15" s="74">
        <f t="shared" ref="J15:X15" si="0">100*((J12-J13)/J13)</f>
        <v>-0.61667038562185306</v>
      </c>
      <c r="K15" s="74">
        <f t="shared" si="0"/>
        <v>-3.5958325373617406</v>
      </c>
      <c r="L15" s="74">
        <f t="shared" si="0"/>
        <v>-5.3085638695577391</v>
      </c>
      <c r="M15" s="74">
        <f t="shared" si="0"/>
        <v>-6.3117569726184026</v>
      </c>
      <c r="N15" s="74">
        <f t="shared" si="0"/>
        <v>-5.5068210178014807</v>
      </c>
      <c r="O15" s="74">
        <f t="shared" si="0"/>
        <v>-6.7860060839099265</v>
      </c>
      <c r="P15" s="74">
        <f t="shared" si="0"/>
        <v>-6.2833440216130478</v>
      </c>
      <c r="Q15" s="74">
        <f t="shared" si="0"/>
        <v>-3.9711191335740241</v>
      </c>
      <c r="R15" s="74">
        <f t="shared" si="0"/>
        <v>0.90554233969005571</v>
      </c>
      <c r="S15" s="74">
        <f t="shared" si="0"/>
        <v>3.3497524208457441</v>
      </c>
      <c r="T15" s="74">
        <f t="shared" si="0"/>
        <v>2.5646664749370021</v>
      </c>
      <c r="U15" s="74">
        <f t="shared" si="0"/>
        <v>-1.168719115224701</v>
      </c>
      <c r="V15" s="74">
        <f t="shared" si="0"/>
        <v>-6.2484174989449901</v>
      </c>
      <c r="W15" s="74">
        <f t="shared" si="0"/>
        <v>-10.300863491213432</v>
      </c>
      <c r="X15" s="74">
        <f t="shared" si="0"/>
        <v>-12.802428389399578</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Allerdale</v>
      </c>
      <c r="G20" s="88"/>
      <c r="H20" s="89"/>
      <c r="I20" s="80">
        <f>IF(VLOOKUP($F20,PAY!$A$11:$AE$349,4,FALSE)="-",#N/A,VLOOKUP($F20,PAY!$A$11:$AE$349,4,FALSE))</f>
        <v>413.9</v>
      </c>
      <c r="J20" s="80">
        <f>IF(VLOOKUP($F20,PAY!$A$11:$AE$349,6,FALSE)="-",#N/A,VLOOKUP($F20,PAY!$A$11:$AE$349,6,FALSE))</f>
        <v>406.2</v>
      </c>
      <c r="K20" s="80">
        <f>IF(VLOOKUP($F20,PAY!$A$11:$AE$349,8,FALSE)="-",#N/A,VLOOKUP($F20,PAY!$A$11:$AE$349,8,FALSE))</f>
        <v>446.1</v>
      </c>
      <c r="L20" s="80">
        <f>IF(VLOOKUP($F20,PAY!$A$11:$AE$349,10,FALSE)="-",#N/A,VLOOKUP($F20,PAY!$A$11:$AE$349,10,FALSE))</f>
        <v>387.4</v>
      </c>
      <c r="M20" s="80">
        <f>IF(VLOOKUP($F20,PAY!$A$11:$AE$349,12,FALSE)="-",#N/A,VLOOKUP($F20,PAY!$A$11:$AE$349,12,FALSE))</f>
        <v>397.4</v>
      </c>
      <c r="N20" s="80">
        <f>IF(VLOOKUP($F20,PAY!$A$11:$AE$349,14,FALSE)="-",#N/A,VLOOKUP($F20,PAY!$A$11:$AE$349,14,FALSE))</f>
        <v>445.1</v>
      </c>
      <c r="O20" s="80">
        <f>IF(VLOOKUP($F20,PAY!$A$11:$AE$349,16,FALSE)="-",#N/A,VLOOKUP($F20,PAY!$A$11:$AE$349,16,FALSE))</f>
        <v>438.4</v>
      </c>
      <c r="P20" s="80">
        <f>IF(VLOOKUP($F20,PAY!$A$11:$AE$349,18,FALSE)="-",#N/A,VLOOKUP($F20,PAY!$A$11:$AE$349,18,FALSE))</f>
        <v>433.6</v>
      </c>
      <c r="Q20" s="80">
        <f>IF(VLOOKUP($F20,PAY!$A$11:$AE$349,20,FALSE)="-",#N/A,VLOOKUP($F20,PAY!$A$11:$AE$349,20,FALSE))</f>
        <v>475.2</v>
      </c>
      <c r="R20" s="80">
        <f>IF(VLOOKUP($F20,PAY!$A$11:$AE$349,22,FALSE)="-",#N/A,VLOOKUP($F20,PAY!$A$11:$AE$349,22,FALSE))</f>
        <v>461.9</v>
      </c>
      <c r="S20" s="80">
        <f>IF(VLOOKUP($F20,PAY!$A$11:$AE$349,24,FALSE)="-",#N/A,VLOOKUP($F20,PAY!$A$11:$AE$349,24,FALSE))</f>
        <v>469.8</v>
      </c>
      <c r="T20" s="80">
        <f>IF(VLOOKUP($F20,PAY!$A$11:$AE$349,26,FALSE)="-",#N/A,VLOOKUP($F20,PAY!$A$11:$AE$349,26,FALSE))</f>
        <v>495.8</v>
      </c>
      <c r="U20" s="80">
        <f>IF(VLOOKUP($F20,PAY!$A$11:$AE$349,28,FALSE)="-",#N/A,VLOOKUP($F20,PAY!$A$11:$AE$349,28,FALSE))</f>
        <v>506.7</v>
      </c>
      <c r="V20" s="80">
        <f>IF(VLOOKUP($F20,PAY!$A$11:$AE$349,30,FALSE)="-",#N/A,VLOOKUP($F20,PAY!$A$11:$AE$349,30,FALSE))</f>
        <v>513.6</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Allerdale to Rural as a Region</v>
      </c>
      <c r="G23" s="122"/>
      <c r="H23" s="123"/>
      <c r="I23" s="74">
        <f>100*((I20-I21)/I21)</f>
        <v>-4.4094087656111167</v>
      </c>
      <c r="J23" s="74">
        <f t="shared" ref="J23:V23" si="2">100*((J20-J21)/J21)</f>
        <v>-7.0320993305487258</v>
      </c>
      <c r="K23" s="74">
        <f t="shared" si="2"/>
        <v>-0.44914112353077784</v>
      </c>
      <c r="L23" s="74">
        <f t="shared" si="2"/>
        <v>-14.035886027594255</v>
      </c>
      <c r="M23" s="74">
        <f t="shared" si="2"/>
        <v>-12.705968713331606</v>
      </c>
      <c r="N23" s="74">
        <f t="shared" si="2"/>
        <v>-3.9018217793640924</v>
      </c>
      <c r="O23" s="74">
        <f t="shared" si="2"/>
        <v>-6.8824038673528136</v>
      </c>
      <c r="P23" s="74">
        <f t="shared" si="2"/>
        <v>-8.681476584139542</v>
      </c>
      <c r="Q23" s="74">
        <f t="shared" si="2"/>
        <v>-2.9178336190912257</v>
      </c>
      <c r="R23" s="74">
        <f t="shared" si="2"/>
        <v>-8.3635313469192756</v>
      </c>
      <c r="S23" s="74">
        <f t="shared" si="2"/>
        <v>-8.6748421753838532</v>
      </c>
      <c r="T23" s="74">
        <f t="shared" si="2"/>
        <v>-7.1011605886144871</v>
      </c>
      <c r="U23" s="74">
        <f t="shared" si="2"/>
        <v>-4.5849309163508964</v>
      </c>
      <c r="V23" s="74">
        <f t="shared" si="2"/>
        <v>-8.9771977511631995</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Allerdale</v>
      </c>
      <c r="G28" s="88"/>
      <c r="H28" s="89"/>
      <c r="I28" s="76">
        <f>VLOOKUP($F28,EMPLOYMENT!$A$6:$BW$345,6,FALSE)</f>
        <v>70.2</v>
      </c>
      <c r="J28" s="77">
        <f>VLOOKUP($F28,EMPLOYMENT!$A$6:$BW$345,10,FALSE)</f>
        <v>74.2</v>
      </c>
      <c r="K28" s="77">
        <f>VLOOKUP($F28,EMPLOYMENT!$A$6:$BW$345,14,FALSE)</f>
        <v>71.2</v>
      </c>
      <c r="L28" s="77">
        <f>VLOOKUP($F28,EMPLOYMENT!$A$6:$BW$345,18,FALSE)</f>
        <v>78.5</v>
      </c>
      <c r="M28" s="77">
        <f>VLOOKUP($F28,EMPLOYMENT!$A$6:$BW$345,22,FALSE)</f>
        <v>74.7</v>
      </c>
      <c r="N28" s="77">
        <f>VLOOKUP($F28,EMPLOYMENT!$A$6:$BW$345,26,FALSE)</f>
        <v>71.2</v>
      </c>
      <c r="O28" s="77">
        <f>VLOOKUP($F28,EMPLOYMENT!$A$6:$BW$345,30,FALSE)</f>
        <v>75.5</v>
      </c>
      <c r="P28" s="77">
        <f>VLOOKUP($F28,EMPLOYMENT!$A$6:$BW$345,34,FALSE)</f>
        <v>68.2</v>
      </c>
      <c r="Q28" s="77">
        <f>VLOOKUP($F28,EMPLOYMENT!$A$6:$BW$345,38,FALSE)</f>
        <v>73.099999999999994</v>
      </c>
      <c r="R28" s="77">
        <f>VLOOKUP($F28,EMPLOYMENT!$A$6:$BW$345,42,FALSE)</f>
        <v>75.400000000000006</v>
      </c>
      <c r="S28" s="77">
        <f>VLOOKUP($F28,EMPLOYMENT!$A$6:$BW$345,46,FALSE)</f>
        <v>73.7</v>
      </c>
      <c r="T28" s="77">
        <f>VLOOKUP($F28,EMPLOYMENT!$A$6:$BW$345,50,FALSE)</f>
        <v>80.2</v>
      </c>
      <c r="U28" s="77">
        <f>VLOOKUP($F28,EMPLOYMENT!$A$6:$BW$345,54,FALSE)</f>
        <v>82.8</v>
      </c>
      <c r="V28" s="77">
        <f>VLOOKUP($F28,EMPLOYMENT!$A$6:$BW$345,58,FALSE)</f>
        <v>77.099999999999994</v>
      </c>
      <c r="W28" s="77">
        <f>VLOOKUP($F28,EMPLOYMENT!$A$6:$BW$345,62,FALSE)</f>
        <v>79.5</v>
      </c>
      <c r="X28" s="77">
        <f>VLOOKUP($F28,EMPLOYMENT!$A$6:$BW$345,66,FALSE)</f>
        <v>83.7</v>
      </c>
      <c r="Y28" s="77">
        <f>VLOOKUP($F28,EMPLOYMENT!$A$6:$BW$345,70,FALSE)</f>
        <v>80</v>
      </c>
      <c r="Z28" s="77">
        <f>VLOOKUP($F28,EMPLOYMENT!$A$6:$BW$345,74,FALSE)</f>
        <v>74.8</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Allerdale to Rural as a Region</v>
      </c>
      <c r="G31" s="122"/>
      <c r="H31" s="123"/>
      <c r="I31" s="74">
        <f>(I28-I29)</f>
        <v>-5.9113419194017354</v>
      </c>
      <c r="J31" s="74">
        <f t="shared" ref="J31:Z31" si="4">(J28-J29)</f>
        <v>-2.1129754666829541</v>
      </c>
      <c r="K31" s="74">
        <f t="shared" si="4"/>
        <v>-4.6731888994867603</v>
      </c>
      <c r="L31" s="74">
        <f t="shared" si="4"/>
        <v>2.8595316973721623</v>
      </c>
      <c r="M31" s="74">
        <f t="shared" si="4"/>
        <v>-1.0355243733317394</v>
      </c>
      <c r="N31" s="74">
        <f t="shared" si="4"/>
        <v>-3.3095398428731784</v>
      </c>
      <c r="O31" s="74">
        <f t="shared" si="4"/>
        <v>1.952866861030131</v>
      </c>
      <c r="P31" s="74">
        <f t="shared" si="4"/>
        <v>-5.5342954032776106</v>
      </c>
      <c r="Q31" s="74">
        <f t="shared" si="4"/>
        <v>-0.9331574754625791</v>
      </c>
      <c r="R31" s="74">
        <f t="shared" si="4"/>
        <v>0.65552507009979877</v>
      </c>
      <c r="S31" s="74">
        <f t="shared" si="4"/>
        <v>-2.4088603400756057</v>
      </c>
      <c r="T31" s="74">
        <f t="shared" si="4"/>
        <v>3.0094680243909835</v>
      </c>
      <c r="U31" s="74">
        <f t="shared" si="4"/>
        <v>5.8283675182919552</v>
      </c>
      <c r="V31" s="74">
        <f t="shared" si="4"/>
        <v>-0.93278688524590336</v>
      </c>
      <c r="W31" s="74">
        <f t="shared" si="4"/>
        <v>1.451843106585855</v>
      </c>
      <c r="X31" s="74">
        <f t="shared" si="4"/>
        <v>5.1087006210432975</v>
      </c>
      <c r="Y31" s="74">
        <f t="shared" si="4"/>
        <v>2.9856537038707955</v>
      </c>
      <c r="Z31" s="74">
        <f t="shared" si="4"/>
        <v>-1.3557580778790452</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Allerdale</v>
      </c>
      <c r="G36" s="88" t="str">
        <f>IFERROR(VLOOKUP(F36,GDHI!B338:C574,2,FALSE),VLOOKUP(F36,GDHI!C3:C336,1,FALSE))</f>
        <v>Allerdale</v>
      </c>
      <c r="H36" s="89" t="str">
        <f>IF(F36=G36,"",G36)</f>
        <v/>
      </c>
      <c r="I36" s="83">
        <f>IFERROR(VLOOKUP($F36,GDHI!$B$338:$U$574,GDHI!G$578,FALSE),VLOOKUP($F36,GDHI!$C$3:$U$336,GDHI!F$578,FALSE))</f>
        <v>12834</v>
      </c>
      <c r="J36" s="84">
        <f>IFERROR(VLOOKUP($F36,GDHI!$B$338:$U$574,GDHI!H$578,FALSE),VLOOKUP($F36,GDHI!$C$3:$U$336,GDHI!G$578,FALSE))</f>
        <v>13301</v>
      </c>
      <c r="K36" s="84">
        <f>IFERROR(VLOOKUP($F36,GDHI!$B$338:$U$574,GDHI!I$578,FALSE),VLOOKUP($F36,GDHI!$C$3:$U$336,GDHI!H$578,FALSE))</f>
        <v>13817</v>
      </c>
      <c r="L36" s="84">
        <f>IFERROR(VLOOKUP($F36,GDHI!$B$338:$U$574,GDHI!J$578,FALSE),VLOOKUP($F36,GDHI!$C$3:$U$336,GDHI!I$578,FALSE))</f>
        <v>14687</v>
      </c>
      <c r="M36" s="84">
        <f>IFERROR(VLOOKUP($F36,GDHI!$B$338:$U$574,GDHI!K$578,FALSE),VLOOKUP($F36,GDHI!$C$3:$U$336,GDHI!J$578,FALSE))</f>
        <v>14874</v>
      </c>
      <c r="N36" s="84">
        <f>IFERROR(VLOOKUP($F36,GDHI!$B$338:$U$574,GDHI!L$578,FALSE),VLOOKUP($F36,GDHI!$C$3:$U$336,GDHI!K$578,FALSE))</f>
        <v>15144</v>
      </c>
      <c r="O36" s="84">
        <f>IFERROR(VLOOKUP($F36,GDHI!$B$338:$U$574,GDHI!M$578,FALSE),VLOOKUP($F36,GDHI!$C$3:$U$336,GDHI!L$578,FALSE))</f>
        <v>15614</v>
      </c>
      <c r="P36" s="84">
        <f>IFERROR(VLOOKUP($F36,GDHI!$B$338:$U$574,GDHI!N$578,FALSE),VLOOKUP($F36,GDHI!$C$3:$U$336,GDHI!M$578,FALSE))</f>
        <v>15757</v>
      </c>
      <c r="Q36" s="84">
        <f>IFERROR(VLOOKUP($F36,GDHI!$B$338:$U$574,GDHI!O$578,FALSE),VLOOKUP($F36,GDHI!$C$3:$U$336,GDHI!N$578,FALSE))</f>
        <v>16643</v>
      </c>
      <c r="R36" s="84">
        <f>IFERROR(VLOOKUP($F36,GDHI!$B$338:$U$574,GDHI!P$578,FALSE),VLOOKUP($F36,GDHI!$C$3:$U$336,GDHI!O$578,FALSE))</f>
        <v>16906</v>
      </c>
      <c r="S36" s="84">
        <f>IFERROR(VLOOKUP($F36,GDHI!$B$338:$U$574,GDHI!Q$578,FALSE),VLOOKUP($F36,GDHI!$C$3:$U$336,GDHI!P$578,FALSE))</f>
        <v>17316</v>
      </c>
      <c r="T36" s="84">
        <f>IFERROR(VLOOKUP($F36,GDHI!$B$338:$U$574,GDHI!R$578,FALSE),VLOOKUP($F36,GDHI!$C$3:$U$336,GDHI!Q$578,FALSE))</f>
        <v>18084</v>
      </c>
      <c r="U36" s="84">
        <f>IFERROR(VLOOKUP($F36,GDHI!$B$338:$U$574,GDHI!S$578,FALSE),VLOOKUP($F36,GDHI!$C$3:$U$336,GDHI!R$578,FALSE))</f>
        <v>18129</v>
      </c>
      <c r="V36" s="84">
        <f>IFERROR(VLOOKUP($F36,GDHI!$B$338:$U$574,GDHI!T$578,FALSE),VLOOKUP($F36,GDHI!$C$3:$U$336,GDHI!S$578,FALSE))</f>
        <v>18448</v>
      </c>
      <c r="W36" s="84">
        <f>IFERROR(VLOOKUP($F36,GDHI!$B$338:$U$574,GDHI!U$578,FALSE),VLOOKUP($F36,GDHI!$C$3:$U$336,GDHI!T$578,FALSE))</f>
        <v>18661</v>
      </c>
      <c r="X36" s="84">
        <f>IFERROR(VLOOKUP($F36,GDHI!$B$338:$U$574,GDHI!V$578,FALSE),VLOOKUP($F36,GDHI!$C$3:$U$336,GDHI!U$578,FALSE))</f>
        <v>18968</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Allerdale to Rural as a Region</v>
      </c>
      <c r="G39" s="122"/>
      <c r="H39" s="123"/>
      <c r="I39" s="74">
        <f>100*((I36-I37)/I37)</f>
        <v>-12.750263435194942</v>
      </c>
      <c r="J39" s="74">
        <f t="shared" ref="J39:X39" si="6">100*((J36-J37)/J37)</f>
        <v>-13.300188332100813</v>
      </c>
      <c r="K39" s="74">
        <f t="shared" si="6"/>
        <v>-13.232573108727291</v>
      </c>
      <c r="L39" s="74">
        <f t="shared" si="6"/>
        <v>-11.354166442125509</v>
      </c>
      <c r="M39" s="74">
        <f t="shared" si="6"/>
        <v>-12.830813431445659</v>
      </c>
      <c r="N39" s="74">
        <f t="shared" si="6"/>
        <v>-12.426571573139297</v>
      </c>
      <c r="O39" s="74">
        <f t="shared" si="6"/>
        <v>-10.817487327161528</v>
      </c>
      <c r="P39" s="74">
        <f t="shared" si="6"/>
        <v>-11.477764906995965</v>
      </c>
      <c r="Q39" s="74">
        <f t="shared" si="6"/>
        <v>-9.3832278739465327</v>
      </c>
      <c r="R39" s="74">
        <f t="shared" si="6"/>
        <v>-10.426760001034436</v>
      </c>
      <c r="S39" s="74">
        <f t="shared" si="6"/>
        <v>-10.724024975648556</v>
      </c>
      <c r="T39" s="74">
        <f t="shared" si="6"/>
        <v>-11.605805521320306</v>
      </c>
      <c r="U39" s="74">
        <f t="shared" si="6"/>
        <v>-12.101412300893747</v>
      </c>
      <c r="V39" s="74">
        <f t="shared" si="6"/>
        <v>-12.007772410554535</v>
      </c>
      <c r="W39" s="74">
        <f t="shared" si="6"/>
        <v>-14.563218979701521</v>
      </c>
      <c r="X39" s="74">
        <f t="shared" si="6"/>
        <v>-14.808495667205454</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Allerdale</v>
      </c>
      <c r="G44" s="88"/>
      <c r="H44" s="89"/>
      <c r="I44" s="76">
        <f>VLOOKUP($F44,'LOW PAID'!$A$9:$N$444,6,FALSE)</f>
        <v>32.6</v>
      </c>
      <c r="J44" s="77">
        <f>VLOOKUP($F44,'LOW PAID'!$P$9:$W$444,6,FALSE)</f>
        <v>30</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Allerdale to Rural as a Region</v>
      </c>
      <c r="G47" s="122"/>
      <c r="H47" s="123"/>
      <c r="I47" s="74">
        <f>(I44-I45)</f>
        <v>7.4061253217868845</v>
      </c>
      <c r="J47" s="74">
        <f>(J44-J45)</f>
        <v>4.3138834909699462</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Allerdale</v>
      </c>
      <c r="G52" s="88"/>
      <c r="H52" s="89"/>
      <c r="I52" s="76">
        <f>VLOOKUP($F52,INACTIVITY!$A$6:$BW$345,6,FALSE)</f>
        <v>26.5</v>
      </c>
      <c r="J52" s="77">
        <f>VLOOKUP($F52,INACTIVITY!$A$6:$BW$345,10,FALSE)</f>
        <v>22.6</v>
      </c>
      <c r="K52" s="77">
        <f>VLOOKUP($F52,INACTIVITY!$A$6:$BW$345,14,FALSE)</f>
        <v>25.6</v>
      </c>
      <c r="L52" s="77">
        <f>VLOOKUP($F52,INACTIVITY!$A$6:$BW$345,18,FALSE)</f>
        <v>19.399999999999999</v>
      </c>
      <c r="M52" s="77">
        <f>VLOOKUP($F52,INACTIVITY!$A$6:$BW$345,22,FALSE)</f>
        <v>24.2</v>
      </c>
      <c r="N52" s="77">
        <f>VLOOKUP($F52,INACTIVITY!$A$6:$BW$345,26,FALSE)</f>
        <v>25.6</v>
      </c>
      <c r="O52" s="77">
        <f>VLOOKUP($F52,INACTIVITY!$A$6:$BW$345,30,FALSE)</f>
        <v>19</v>
      </c>
      <c r="P52" s="77">
        <f>VLOOKUP($F52,INACTIVITY!$A$6:$BW$345,34,FALSE)</f>
        <v>24.1</v>
      </c>
      <c r="Q52" s="77">
        <f>VLOOKUP($F52,INACTIVITY!$A$6:$BW$345,38,FALSE)</f>
        <v>20.2</v>
      </c>
      <c r="R52" s="77">
        <f>VLOOKUP($F52,INACTIVITY!$A$6:$BW$345,42,FALSE)</f>
        <v>18.399999999999999</v>
      </c>
      <c r="S52" s="77">
        <f>VLOOKUP($F52,INACTIVITY!$A$6:$BW$345,46,FALSE)</f>
        <v>21.4</v>
      </c>
      <c r="T52" s="77">
        <f>VLOOKUP($F52,INACTIVITY!$A$6:$BW$345,50,FALSE)</f>
        <v>17.3</v>
      </c>
      <c r="U52" s="77">
        <f>VLOOKUP($F52,INACTIVITY!$A$6:$BW$345,54,FALSE)</f>
        <v>14.8</v>
      </c>
      <c r="V52" s="77">
        <f>VLOOKUP($F52,INACTIVITY!$A$6:$BW$345,58,FALSE)</f>
        <v>20</v>
      </c>
      <c r="W52" s="77">
        <f>VLOOKUP($F52,INACTIVITY!$A$6:$BW$345,62,FALSE)</f>
        <v>19.3</v>
      </c>
      <c r="X52" s="77">
        <f>VLOOKUP($F52,INACTIVITY!$A$6:$BW$345,66,FALSE)</f>
        <v>13.3</v>
      </c>
      <c r="Y52" s="77">
        <f>VLOOKUP($F52,INACTIVITY!$A$6:$BW$345,70,FALSE)</f>
        <v>17.2</v>
      </c>
      <c r="Z52" s="77">
        <f>VLOOKUP($F52,INACTIVITY!$A$6:$BW$345,74,FALSE)</f>
        <v>21.3</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Allerdale to Rural as a Region</v>
      </c>
      <c r="G55" s="122"/>
      <c r="H55" s="123"/>
      <c r="I55" s="74">
        <f>(I52-I53)</f>
        <v>5.1043554283897627</v>
      </c>
      <c r="J55" s="74">
        <f t="shared" ref="J55:Z55" si="10">(J52-J53)</f>
        <v>1.5914772727272748</v>
      </c>
      <c r="K55" s="74">
        <f t="shared" si="10"/>
        <v>4.7375346065412245</v>
      </c>
      <c r="L55" s="74">
        <f t="shared" si="10"/>
        <v>-1.9140653315366407</v>
      </c>
      <c r="M55" s="74">
        <f t="shared" si="10"/>
        <v>3.3649976891079945</v>
      </c>
      <c r="N55" s="74">
        <f t="shared" si="10"/>
        <v>4.666856242079561</v>
      </c>
      <c r="O55" s="74">
        <f t="shared" si="10"/>
        <v>-2.6919371275051738</v>
      </c>
      <c r="P55" s="74">
        <f t="shared" si="10"/>
        <v>2.6057542192465526</v>
      </c>
      <c r="Q55" s="74">
        <f t="shared" si="10"/>
        <v>-0.98254879448909449</v>
      </c>
      <c r="R55" s="74">
        <f t="shared" si="10"/>
        <v>-2.3745930974387726</v>
      </c>
      <c r="S55" s="74">
        <f t="shared" si="10"/>
        <v>1.1267895440275986</v>
      </c>
      <c r="T55" s="74">
        <f t="shared" si="10"/>
        <v>-2.3961946834069572</v>
      </c>
      <c r="U55" s="74">
        <f t="shared" si="10"/>
        <v>-5.0524293470694701</v>
      </c>
      <c r="V55" s="74">
        <f t="shared" si="10"/>
        <v>0.74672266571962354</v>
      </c>
      <c r="W55" s="74">
        <f t="shared" si="10"/>
        <v>0.12304399081715189</v>
      </c>
      <c r="X55" s="74">
        <f t="shared" si="10"/>
        <v>-5.5520649493649294</v>
      </c>
      <c r="Y55" s="74">
        <f t="shared" si="10"/>
        <v>-2.5725827218714628</v>
      </c>
      <c r="Z55" s="74">
        <f t="shared" si="10"/>
        <v>0.2148202243699302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Allerdale</v>
      </c>
      <c r="G60" s="88"/>
      <c r="H60" s="89"/>
      <c r="I60" s="76">
        <f>VLOOKUP($F60,DISABILITY!$A$718:$I$1052,DISABILITY!B$1053,FALSE)</f>
        <v>29.5</v>
      </c>
      <c r="J60" s="77">
        <f>VLOOKUP($F60,DISABILITY!$A$718:$I$1052,DISABILITY!C$1053,FALSE)</f>
        <v>26.5</v>
      </c>
      <c r="K60" s="77">
        <f>VLOOKUP($F60,DISABILITY!$A$718:$I$1052,DISABILITY!D$1053,FALSE)</f>
        <v>25.800000000000004</v>
      </c>
      <c r="L60" s="77">
        <f>VLOOKUP($F60,DISABILITY!$A$718:$I$1052,DISABILITY!E$1053,FALSE)</f>
        <v>39.700000000000003</v>
      </c>
      <c r="M60" s="77">
        <f>VLOOKUP($F60,DISABILITY!$A$718:$I$1052,DISABILITY!F$1053,FALSE)</f>
        <v>31.299999999999997</v>
      </c>
      <c r="N60" s="77">
        <f>VLOOKUP($F60,DISABILITY!$A$718:$I$1052,DISABILITY!G$1053,FALSE)</f>
        <v>20.5</v>
      </c>
      <c r="O60" s="77">
        <f>VLOOKUP($F60,DISABILITY!$A$718:$I$1052,DISABILITY!H$1053,FALSE)</f>
        <v>22.200000000000003</v>
      </c>
      <c r="P60" s="77">
        <f>VLOOKUP($F60,DISABILITY!$A$718:$I$1052,DISABILITY!I$1053,FALSE)</f>
        <v>36.1</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Allerdale to Rural as a Region</v>
      </c>
      <c r="G63" s="122"/>
      <c r="H63" s="123"/>
      <c r="I63" s="74">
        <f>(I60-I61)</f>
        <v>2.0798434593527517</v>
      </c>
      <c r="J63" s="74">
        <f t="shared" ref="J63:P63" si="12">(J60-J61)</f>
        <v>-0.81904440705118731</v>
      </c>
      <c r="K63" s="74">
        <f t="shared" si="12"/>
        <v>-2.3191283614982012</v>
      </c>
      <c r="L63" s="74">
        <f t="shared" si="12"/>
        <v>13.709065461003327</v>
      </c>
      <c r="M63" s="74">
        <f t="shared" si="12"/>
        <v>5.8247741813338791</v>
      </c>
      <c r="N63" s="74">
        <f t="shared" si="12"/>
        <v>-5.0312476854419828</v>
      </c>
      <c r="O63" s="74">
        <f t="shared" si="12"/>
        <v>-1.5972222879969422</v>
      </c>
      <c r="P63" s="74">
        <f t="shared" si="12"/>
        <v>10.745822069657827</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Allerdale</v>
      </c>
      <c r="G68" s="88"/>
      <c r="H68" s="89"/>
      <c r="I68" s="76">
        <f>VLOOKUP($F68,'WORKLESS HOUSEHOLDS'!$DW$4:$EC$397,7,FALSE)</f>
        <v>13.292077162702906</v>
      </c>
      <c r="J68" s="77">
        <f>VLOOKUP($F68,'WORKLESS HOUSEHOLDS'!$DN$4:$DT$397,7,FALSE)</f>
        <v>3.3434464589661053</v>
      </c>
      <c r="K68" s="77">
        <f>VLOOKUP($F68,'WORKLESS HOUSEHOLDS'!$DE$4:$DK$397,7,FALSE)</f>
        <v>5.9440590351100013</v>
      </c>
      <c r="L68" s="77">
        <f>VLOOKUP($F68,'WORKLESS HOUSEHOLDS'!$CV$4:$DB$397,7,FALSE)</f>
        <v>5.1605723428216947</v>
      </c>
      <c r="M68" s="77">
        <f>VLOOKUP($F68,'WORKLESS HOUSEHOLDS'!$CM$4:$CS$397,7,FALSE)</f>
        <v>10.440330723205163</v>
      </c>
      <c r="N68" s="77">
        <f>VLOOKUP($F68,'WORKLESS HOUSEHOLDS'!$CD$4:$CJ$397,7,FALSE)</f>
        <v>32.156862745098039</v>
      </c>
      <c r="O68" s="77">
        <f>VLOOKUP($F68,'WORKLESS HOUSEHOLDS'!$BU$4:$CA$397,7,FALSE)</f>
        <v>9.5142875572469858</v>
      </c>
      <c r="P68" s="77">
        <f>VLOOKUP($F68,'WORKLESS HOUSEHOLDS'!$BL$4:$BR$397,7,FALSE)</f>
        <v>12.624509078490522</v>
      </c>
      <c r="Q68" s="77">
        <f>VLOOKUP($F68,'WORKLESS HOUSEHOLDS'!$BC$4:$BI$397,7,FALSE)</f>
        <v>30.882839923173723</v>
      </c>
      <c r="R68" s="77">
        <f>VLOOKUP($F68,'WORKLESS HOUSEHOLDS'!$AT$4:$AZ$397,7,FALSE)</f>
        <v>6.2606618901398834</v>
      </c>
      <c r="S68" s="77" t="str">
        <f>VLOOKUP($F68,'WORKLESS HOUSEHOLDS'!$AK$4:$AQ$397,7,FALSE)</f>
        <v>#</v>
      </c>
      <c r="T68" s="77">
        <f>VLOOKUP($F68,'WORKLESS HOUSEHOLDS'!$AB$4:$AH$397,7,FALSE)</f>
        <v>11.409196359526501</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Allerdale to Rural as a Region</v>
      </c>
      <c r="G71" s="122"/>
      <c r="H71" s="123"/>
      <c r="I71" s="74">
        <f>(I68-I69)</f>
        <v>3.2801313001162153</v>
      </c>
      <c r="J71" s="74">
        <f t="shared" ref="J71:W71" si="14">(J68-J69)</f>
        <v>-7.567708378508919</v>
      </c>
      <c r="K71" s="74">
        <f t="shared" si="14"/>
        <v>-4.3491866940458426</v>
      </c>
      <c r="L71" s="74">
        <f t="shared" si="14"/>
        <v>-5.8054343185080377</v>
      </c>
      <c r="M71" s="74">
        <f t="shared" si="14"/>
        <v>-1.2534484579833105</v>
      </c>
      <c r="N71" s="74">
        <f t="shared" si="14"/>
        <v>20.255763065842658</v>
      </c>
      <c r="O71" s="74">
        <f t="shared" si="14"/>
        <v>-1.520965690495526</v>
      </c>
      <c r="P71" s="74">
        <f t="shared" si="14"/>
        <v>2.9330111927226845</v>
      </c>
      <c r="Q71" s="74">
        <f t="shared" si="14"/>
        <v>20.077661662775313</v>
      </c>
      <c r="R71" s="74">
        <f t="shared" si="14"/>
        <v>-4.4454344335896705</v>
      </c>
      <c r="S71" s="74" t="e">
        <f t="shared" si="14"/>
        <v>#VALUE!</v>
      </c>
      <c r="T71" s="74">
        <f t="shared" si="14"/>
        <v>1.5055281648937502</v>
      </c>
      <c r="U71" s="74" t="e">
        <f t="shared" si="14"/>
        <v>#VALUE!</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Allerdale</v>
      </c>
      <c r="G76" s="88"/>
      <c r="H76" s="89"/>
      <c r="I76" s="76">
        <f>VLOOKUP($F76,'SKILLED EMPLOYMENT'!$A$1506:$BW$1841,6,FALSE)</f>
        <v>48.399999999999991</v>
      </c>
      <c r="J76" s="77">
        <f>VLOOKUP($F76,'SKILLED EMPLOYMENT'!$A$1506:$BW$1841,10,FALSE)</f>
        <v>49.8</v>
      </c>
      <c r="K76" s="77">
        <f>VLOOKUP($F76,'SKILLED EMPLOYMENT'!$A$1506:$BW$1841,14,FALSE)</f>
        <v>53.8</v>
      </c>
      <c r="L76" s="77">
        <f>VLOOKUP($F76,'SKILLED EMPLOYMENT'!$A$1506:$BW$1841,18,FALSE)</f>
        <v>48.5</v>
      </c>
      <c r="M76" s="77">
        <f>VLOOKUP($F76,'SKILLED EMPLOYMENT'!$A$1506:$BW$1841,22,FALSE)</f>
        <v>40.4</v>
      </c>
      <c r="N76" s="77">
        <f>VLOOKUP($F76,'SKILLED EMPLOYMENT'!$A$1506:$BW$1841,26,FALSE)</f>
        <v>50.8</v>
      </c>
      <c r="O76" s="77">
        <f>VLOOKUP($F76,'SKILLED EMPLOYMENT'!$A$1506:$BW$1841,30,FALSE)</f>
        <v>50.3</v>
      </c>
      <c r="P76" s="77">
        <f>VLOOKUP($F76,'SKILLED EMPLOYMENT'!$A$1506:$BW$1841,34,FALSE)</f>
        <v>43.7</v>
      </c>
      <c r="Q76" s="77">
        <f>VLOOKUP($F76,'SKILLED EMPLOYMENT'!$A$1506:$BW$1841,38,FALSE)</f>
        <v>50</v>
      </c>
      <c r="R76" s="77">
        <f>VLOOKUP($F76,'SKILLED EMPLOYMENT'!$A$1506:$BW$1841,42,FALSE)</f>
        <v>52.900000000000006</v>
      </c>
      <c r="S76" s="77">
        <f>VLOOKUP($F76,'SKILLED EMPLOYMENT'!$A$1506:$BW$1841,46,FALSE)</f>
        <v>57.300000000000004</v>
      </c>
      <c r="T76" s="77">
        <f>VLOOKUP($F76,'SKILLED EMPLOYMENT'!$A$1506:$BW$1841,50,FALSE)</f>
        <v>56.4</v>
      </c>
      <c r="U76" s="77">
        <f>VLOOKUP($F76,'SKILLED EMPLOYMENT'!$A$1506:$BW$1841,54,FALSE)</f>
        <v>49.599999999999994</v>
      </c>
      <c r="V76" s="77">
        <f>VLOOKUP($F76,'SKILLED EMPLOYMENT'!$A$1506:$BW$1841,58,FALSE)</f>
        <v>51.800000000000004</v>
      </c>
      <c r="W76" s="77">
        <f>VLOOKUP($F76,'SKILLED EMPLOYMENT'!$A$1506:$BW$1841,62,FALSE)</f>
        <v>57.70000000000001</v>
      </c>
      <c r="X76" s="77">
        <f>VLOOKUP($F76,'SKILLED EMPLOYMENT'!$A$1506:$BW$1841,66,FALSE)</f>
        <v>58.7</v>
      </c>
      <c r="Y76" s="77">
        <f>VLOOKUP($F76,'SKILLED EMPLOYMENT'!$A$1506:$BW$1841,70,FALSE)</f>
        <v>53.099999999999994</v>
      </c>
      <c r="Z76" s="77">
        <f>VLOOKUP($F76,'SKILLED EMPLOYMENT'!$A$1506:$BW$1841,74,FALSE)</f>
        <v>54.499999999999993</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Allerdale to Rural as a Region</v>
      </c>
      <c r="G79" s="122"/>
      <c r="H79" s="123"/>
      <c r="I79" s="74">
        <f>(I76-I77)</f>
        <v>-4.3000000000000114</v>
      </c>
      <c r="J79" s="74">
        <f t="shared" ref="J79:Z79" si="17">(J76-J77)</f>
        <v>-3.1000000000000014</v>
      </c>
      <c r="K79" s="74">
        <f t="shared" si="17"/>
        <v>0.29999999999999716</v>
      </c>
      <c r="L79" s="74">
        <f t="shared" si="17"/>
        <v>-5.5</v>
      </c>
      <c r="M79" s="74">
        <f t="shared" si="17"/>
        <v>-13.700000000000003</v>
      </c>
      <c r="N79" s="74">
        <f t="shared" si="17"/>
        <v>-3.6000000000000014</v>
      </c>
      <c r="O79" s="74">
        <f t="shared" si="17"/>
        <v>-5.1000000000000014</v>
      </c>
      <c r="P79" s="74">
        <f t="shared" si="17"/>
        <v>-11.899999999999999</v>
      </c>
      <c r="Q79" s="74">
        <f t="shared" si="17"/>
        <v>-5.3999999999999986</v>
      </c>
      <c r="R79" s="74">
        <f t="shared" si="17"/>
        <v>-3.2999999999999972</v>
      </c>
      <c r="S79" s="74">
        <f t="shared" si="17"/>
        <v>1.1000000000000014</v>
      </c>
      <c r="T79" s="74">
        <f t="shared" si="17"/>
        <v>-0.39999999999999858</v>
      </c>
      <c r="U79" s="74">
        <f t="shared" si="17"/>
        <v>-7.0000000000000071</v>
      </c>
      <c r="V79" s="74">
        <f t="shared" si="17"/>
        <v>-5.2999999999999972</v>
      </c>
      <c r="W79" s="74">
        <f t="shared" si="17"/>
        <v>-9.999999999998721E-2</v>
      </c>
      <c r="X79" s="74">
        <f t="shared" si="17"/>
        <v>-9.9999999999994316E-2</v>
      </c>
      <c r="Y79" s="74">
        <f t="shared" si="17"/>
        <v>-5.6000000000000085</v>
      </c>
      <c r="Z79" s="74">
        <f t="shared" si="17"/>
        <v>-3.9000000000000057</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tdb5+oJu2h+mKPrdeXLhoPgT8I8Hfc3259LFgNvx2dJfHvpwM1MvqXVCTJGsHznT3FNr6XAj4MB6GMbUNi7LEg==" saltValue="eC6Ky4QT0zcafYkPJ8+Mr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Richard Inman</cp:lastModifiedBy>
  <cp:lastPrinted>2022-06-10T14:14:16Z</cp:lastPrinted>
  <dcterms:created xsi:type="dcterms:W3CDTF">2022-05-30T09:14:22Z</dcterms:created>
  <dcterms:modified xsi:type="dcterms:W3CDTF">2022-08-02T15:32:51Z</dcterms:modified>
</cp:coreProperties>
</file>