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15" documentId="8_{B8F2831E-7414-4E73-8B71-AC6732415B91}" xr6:coauthVersionLast="47" xr6:coauthVersionMax="47" xr10:uidLastSave="{ED947002-27E2-455A-9466-3253DE90D4C7}"/>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<sst xmlns="http://schemas.openxmlformats.org/spreadsheetml/2006/main" count="32859" uniqueCount="1676">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</sst>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Ashford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22.88</c:v>
                </c:pt>
                <c:pt idx="1">
                  <c:v>22.66</c:v>
                </c:pt>
                <c:pt idx="2">
                  <c:v>24.31</c:v>
                </c:pt>
                <c:pt idx="3">
                  <c:v>24.94</c:v>
                </c:pt>
                <c:pt idx="4">
                  <c:v>25.68</c:v>
                </c:pt>
                <c:pt idx="5">
                  <c:v>25.9</c:v>
                </c:pt>
                <c:pt idx="6">
                  <c:v>26.2</c:v>
                </c:pt>
                <c:pt idx="7">
                  <c:v>26.04</c:v>
                </c:pt>
                <c:pt idx="8">
                  <c:v>26.3</c:v>
                </c:pt>
                <c:pt idx="9">
                  <c:v>26.62</c:v>
                </c:pt>
                <c:pt idx="10">
                  <c:v>27.04</c:v>
                </c:pt>
                <c:pt idx="11">
                  <c:v>27.05</c:v>
                </c:pt>
                <c:pt idx="12">
                  <c:v>27.09</c:v>
                </c:pt>
                <c:pt idx="13">
                  <c:v>27.27</c:v>
                </c:pt>
                <c:pt idx="14">
                  <c:v>27.67</c:v>
                </c:pt>
                <c:pt idx="15">
                  <c:v>27.9</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Ashford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416.2</c:v>
                </c:pt>
                <c:pt idx="1">
                  <c:v>442.7</c:v>
                </c:pt>
                <c:pt idx="2">
                  <c:v>462.2</c:v>
                </c:pt>
                <c:pt idx="3">
                  <c:v>472.2</c:v>
                </c:pt>
                <c:pt idx="4">
                  <c:v>467.7</c:v>
                </c:pt>
                <c:pt idx="5">
                  <c:v>476.1</c:v>
                </c:pt>
                <c:pt idx="6">
                  <c:v>469.5</c:v>
                </c:pt>
                <c:pt idx="7">
                  <c:v>493.4</c:v>
                </c:pt>
                <c:pt idx="8">
                  <c:v>541.9</c:v>
                </c:pt>
                <c:pt idx="9">
                  <c:v>523.5</c:v>
                </c:pt>
                <c:pt idx="10">
                  <c:v>552.6</c:v>
                </c:pt>
                <c:pt idx="11">
                  <c:v>571.5</c:v>
                </c:pt>
                <c:pt idx="12">
                  <c:v>519.20000000000005</c:v>
                </c:pt>
                <c:pt idx="13">
                  <c:v>572.9</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Ashford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79.400000000000006</c:v>
                </c:pt>
                <c:pt idx="1">
                  <c:v>78.8</c:v>
                </c:pt>
                <c:pt idx="2">
                  <c:v>74.8</c:v>
                </c:pt>
                <c:pt idx="3">
                  <c:v>80.5</c:v>
                </c:pt>
                <c:pt idx="4">
                  <c:v>79.5</c:v>
                </c:pt>
                <c:pt idx="5">
                  <c:v>78.5</c:v>
                </c:pt>
                <c:pt idx="6">
                  <c:v>76.900000000000006</c:v>
                </c:pt>
                <c:pt idx="7">
                  <c:v>72.5</c:v>
                </c:pt>
                <c:pt idx="8">
                  <c:v>74.2</c:v>
                </c:pt>
                <c:pt idx="9">
                  <c:v>79.2</c:v>
                </c:pt>
                <c:pt idx="10">
                  <c:v>76.8</c:v>
                </c:pt>
                <c:pt idx="11">
                  <c:v>75.7</c:v>
                </c:pt>
                <c:pt idx="12">
                  <c:v>79.099999999999994</c:v>
                </c:pt>
                <c:pt idx="13">
                  <c:v>76.3</c:v>
                </c:pt>
                <c:pt idx="14">
                  <c:v>79.900000000000006</c:v>
                </c:pt>
                <c:pt idx="15">
                  <c:v>78.8</c:v>
                </c:pt>
                <c:pt idx="16">
                  <c:v>79.3</c:v>
                </c:pt>
                <c:pt idx="17">
                  <c:v>72.5</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Ashford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15220</c:v>
                </c:pt>
                <c:pt idx="1">
                  <c:v>15636</c:v>
                </c:pt>
                <c:pt idx="2">
                  <c:v>16027</c:v>
                </c:pt>
                <c:pt idx="3">
                  <c:v>16724</c:v>
                </c:pt>
                <c:pt idx="4">
                  <c:v>17093</c:v>
                </c:pt>
                <c:pt idx="5">
                  <c:v>17358</c:v>
                </c:pt>
                <c:pt idx="6">
                  <c:v>17501</c:v>
                </c:pt>
                <c:pt idx="7">
                  <c:v>17576</c:v>
                </c:pt>
                <c:pt idx="8">
                  <c:v>18204</c:v>
                </c:pt>
                <c:pt idx="9">
                  <c:v>18861</c:v>
                </c:pt>
                <c:pt idx="10">
                  <c:v>19326</c:v>
                </c:pt>
                <c:pt idx="11">
                  <c:v>20028</c:v>
                </c:pt>
                <c:pt idx="12">
                  <c:v>20529</c:v>
                </c:pt>
                <c:pt idx="13">
                  <c:v>20710</c:v>
                </c:pt>
                <c:pt idx="14">
                  <c:v>21652</c:v>
                </c:pt>
                <c:pt idx="15">
                  <c:v>21967</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Ashford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25.6</c:v>
                </c:pt>
                <c:pt idx="1">
                  <c:v>22</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Ashford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19.3</c:v>
                </c:pt>
                <c:pt idx="1">
                  <c:v>17.899999999999999</c:v>
                </c:pt>
                <c:pt idx="2">
                  <c:v>20.100000000000001</c:v>
                </c:pt>
                <c:pt idx="3">
                  <c:v>15</c:v>
                </c:pt>
                <c:pt idx="4">
                  <c:v>17.399999999999999</c:v>
                </c:pt>
                <c:pt idx="5">
                  <c:v>18.3</c:v>
                </c:pt>
                <c:pt idx="6">
                  <c:v>18.7</c:v>
                </c:pt>
                <c:pt idx="7">
                  <c:v>23.5</c:v>
                </c:pt>
                <c:pt idx="8">
                  <c:v>21.5</c:v>
                </c:pt>
                <c:pt idx="9">
                  <c:v>15.4</c:v>
                </c:pt>
                <c:pt idx="10">
                  <c:v>19.899999999999999</c:v>
                </c:pt>
                <c:pt idx="11">
                  <c:v>19.899999999999999</c:v>
                </c:pt>
                <c:pt idx="12">
                  <c:v>16</c:v>
                </c:pt>
                <c:pt idx="13">
                  <c:v>22</c:v>
                </c:pt>
                <c:pt idx="14">
                  <c:v>16.600000000000001</c:v>
                </c:pt>
                <c:pt idx="15">
                  <c:v>16.399999999999999</c:v>
                </c:pt>
                <c:pt idx="16">
                  <c:v>16.8</c:v>
                </c:pt>
                <c:pt idx="17">
                  <c:v>21</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Ashford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27.000000000000007</c:v>
                </c:pt>
                <c:pt idx="1">
                  <c:v>24.700000000000003</c:v>
                </c:pt>
                <c:pt idx="2">
                  <c:v>24.1</c:v>
                </c:pt>
                <c:pt idx="3">
                  <c:v>19.099999999999994</c:v>
                </c:pt>
                <c:pt idx="4">
                  <c:v>33.999999999999993</c:v>
                </c:pt>
                <c:pt idx="5">
                  <c:v>35.1</c:v>
                </c:pt>
                <c:pt idx="6">
                  <c:v>41.699999999999996</c:v>
                </c:pt>
                <c:pt idx="7">
                  <c:v>26.199999999999996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Ashford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8.9468757047264766</c:v>
                </c:pt>
                <c:pt idx="1">
                  <c:v>10.426538137018191</c:v>
                </c:pt>
                <c:pt idx="2">
                  <c:v>13.230049082095546</c:v>
                </c:pt>
                <c:pt idx="3">
                  <c:v>8.7757414408440475</c:v>
                </c:pt>
                <c:pt idx="4">
                  <c:v>10.622361349274801</c:v>
                </c:pt>
                <c:pt idx="5">
                  <c:v>9.2913722971526429</c:v>
                </c:pt>
                <c:pt idx="6">
                  <c:v>16.414228624993832</c:v>
                </c:pt>
                <c:pt idx="7">
                  <c:v>14.964535489311045</c:v>
                </c:pt>
                <c:pt idx="8">
                  <c:v>9.6826919660306299</c:v>
                </c:pt>
                <c:pt idx="9">
                  <c:v>9.8320968371729798</c:v>
                </c:pt>
                <c:pt idx="10">
                  <c:v>10.489748140316429</c:v>
                </c:pt>
                <c:pt idx="11">
                  <c:v>8.5965041128084607</c:v>
                </c:pt>
                <c:pt idx="12">
                  <c:v>9.0613012955055368</c:v>
                </c:pt>
                <c:pt idx="13">
                  <c:v>10.793754866204974</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Ashford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55.3</c:v>
                </c:pt>
                <c:pt idx="1">
                  <c:v>48.5</c:v>
                </c:pt>
                <c:pt idx="2">
                  <c:v>49.099999999999994</c:v>
                </c:pt>
                <c:pt idx="3">
                  <c:v>56.7</c:v>
                </c:pt>
                <c:pt idx="4">
                  <c:v>50.1</c:v>
                </c:pt>
                <c:pt idx="5">
                  <c:v>46.3</c:v>
                </c:pt>
                <c:pt idx="6">
                  <c:v>45.400000000000006</c:v>
                </c:pt>
                <c:pt idx="7">
                  <c:v>59.6</c:v>
                </c:pt>
                <c:pt idx="8">
                  <c:v>56.4</c:v>
                </c:pt>
                <c:pt idx="9">
                  <c:v>50.5</c:v>
                </c:pt>
                <c:pt idx="10">
                  <c:v>50.599999999999994</c:v>
                </c:pt>
                <c:pt idx="11">
                  <c:v>47.6</c:v>
                </c:pt>
                <c:pt idx="12">
                  <c:v>51.3</c:v>
                </c:pt>
                <c:pt idx="13">
                  <c:v>55.1</c:v>
                </c:pt>
                <c:pt idx="14">
                  <c:v>55.800000000000004</c:v>
                </c:pt>
                <c:pt idx="15">
                  <c:v>64.5</c:v>
                </c:pt>
                <c:pt idx="16">
                  <c:v>66.3</c:v>
                </c:pt>
                <c:pt idx="17">
                  <c:v>60.800000000000004</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579120</xdr:colOff>
      <xdr:row>12</xdr:row>
      <xdr:rowOff>510540</xdr:rowOff>
    </xdr:from>
    <xdr:to>
      <xdr:col>1</xdr:col>
      <xdr:colOff>2560320</xdr:colOff>
      <xdr:row>14</xdr:row>
      <xdr:rowOff>15240</xdr:rowOff>
    </xdr:to>
    <xdr:sp macro="" textlink="">
      <xdr:nvSpPr>
        <xdr:cNvPr id="11" name="TextBox 10">
          <a:extLst>
            <a:ext uri="{FF2B5EF4-FFF2-40B4-BE49-F238E27FC236}">
              <a16:creationId xmlns:a16="http://schemas.microsoft.com/office/drawing/2014/main" id="{93996A17-16D6-3F4A-02F1-D1828CB6DEB3}"/>
            </a:ext>
          </a:extLst>
        </xdr:cNvPr>
        <xdr:cNvSpPr txBox="1"/>
      </xdr:nvSpPr>
      <xdr:spPr>
        <a:xfrm>
          <a:off x="579120" y="34975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in Ashford has seen a gradual increase from 2004 to 2019 but at a slower rate than both the Rural and England situation over the same period.  This has left Ashford's GVA per hour worked some way behind the Rural and even further behind the England situation in 2019.</a:t>
          </a:r>
          <a:endParaRPr lang="en-GB" sz="1100">
            <a:latin typeface="Avenir Next LT Pro" panose="020B0504020202020204" pitchFamily="34" charset="0"/>
          </a:endParaRPr>
        </a:p>
      </xdr:txBody>
    </xdr:sp>
    <xdr:clientData/>
  </xdr:twoCellAnchor>
  <xdr:twoCellAnchor>
    <xdr:from>
      <xdr:col>0</xdr:col>
      <xdr:colOff>617220</xdr:colOff>
      <xdr:row>20</xdr:row>
      <xdr:rowOff>609600</xdr:rowOff>
    </xdr:from>
    <xdr:to>
      <xdr:col>1</xdr:col>
      <xdr:colOff>2598420</xdr:colOff>
      <xdr:row>21</xdr:row>
      <xdr:rowOff>594360</xdr:rowOff>
    </xdr:to>
    <xdr:sp macro="" textlink="">
      <xdr:nvSpPr>
        <xdr:cNvPr id="12" name="TextBox 11">
          <a:extLst>
            <a:ext uri="{FF2B5EF4-FFF2-40B4-BE49-F238E27FC236}">
              <a16:creationId xmlns:a16="http://schemas.microsoft.com/office/drawing/2014/main" id="{40C9AC96-C2E7-4510-AF5E-325C25EF3A1E}"/>
            </a:ext>
          </a:extLst>
        </xdr:cNvPr>
        <xdr:cNvSpPr txBox="1"/>
      </xdr:nvSpPr>
      <xdr:spPr>
        <a:xfrm>
          <a:off x="617220" y="753618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a:t>
          </a:r>
          <a:r>
            <a:rPr lang="en-GB" sz="1100" baseline="0">
              <a:solidFill>
                <a:schemeClr val="dk1"/>
              </a:solidFill>
              <a:effectLst/>
              <a:latin typeface="Avenir Next LT Pro" panose="020B0504020202020204" pitchFamily="34" charset="0"/>
              <a:ea typeface="+mn-ea"/>
              <a:cs typeface="+mn-cs"/>
            </a:rPr>
            <a:t>Ashford </a:t>
          </a:r>
          <a:r>
            <a:rPr lang="en-GB" sz="1100">
              <a:latin typeface="Avenir Next LT Pro" panose="020B0504020202020204" pitchFamily="34" charset="0"/>
            </a:rPr>
            <a:t>has since 2008</a:t>
          </a:r>
          <a:r>
            <a:rPr lang="en-GB" sz="1100" baseline="0">
              <a:latin typeface="Avenir Next LT Pro" panose="020B0504020202020204" pitchFamily="34" charset="0"/>
            </a:rPr>
            <a:t> bounced between that seen for England overall, and that seen in rural areas which itself has been consistently below England's situation.</a:t>
          </a:r>
          <a:endParaRPr lang="en-GB" sz="1100">
            <a:latin typeface="Avenir Next LT Pro" panose="020B0504020202020204" pitchFamily="34" charset="0"/>
          </a:endParaRPr>
        </a:p>
      </xdr:txBody>
    </xdr:sp>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Ashford has been generally greater than both that seen for rural as well as England, but has dipped in the latest year to be below both.</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449580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2115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Ashford, it's rate of increase has been slower than both the rural and England situation, such that GDHI per head is lower in 2019 in Ashford than England and rural areas.</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has for Ashford dropped between 2017 and 2018 to a point lower than both the rural and England situation.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Ashford's economic inactivity rate has fluctuated over the years but has mostly remained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182880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9829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Ashford saw three years, from 2018 to 2020, where the gap was appreciably greater than the gap seen for rural or England.  Otherwise, it's gap has been below or similar to the rural and England average positions.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Ashford has been less stable and has in some years been greater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78</xdr:row>
      <xdr:rowOff>121920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10287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Ashford in general has seen variable proportions of employed people in skilled employment, taking it in some years above and in some years below the national and rural position.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activeCell="F32" sqref="F32:H3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398</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Ashford</v>
      </c>
      <c r="G12" s="88" t="str">
        <f>IFERROR(VLOOKUP(F12,GVA!B244:B552,1,FALSE),VLOOKUP(F12,GVA!B6:C230,2,FALSE))</f>
        <v>Ashford</v>
      </c>
      <c r="H12" s="89" t="str">
        <f>IF(F12=G12,"",G12)</f>
        <v/>
      </c>
      <c r="I12" s="76">
        <f>IFERROR(VLOOKUP($F12,GVA!$B$7:$S$230,GVA!D$3,FALSE),VLOOKUP($F12,GVA!$B$244:$T$554,GVA!E$3,FALSE))</f>
        <v>22.88</v>
      </c>
      <c r="J12" s="77">
        <f>IFERROR(VLOOKUP($F12,GVA!$B$7:$S$230,GVA!E$3,FALSE),VLOOKUP($F12,GVA!$B$244:$T$554,GVA!F$3,FALSE))</f>
        <v>22.66</v>
      </c>
      <c r="K12" s="77">
        <f>IFERROR(VLOOKUP($F12,GVA!$B$7:$S$230,GVA!F$3,FALSE),VLOOKUP($F12,GVA!$B$244:$T$554,GVA!G$3,FALSE))</f>
        <v>24.31</v>
      </c>
      <c r="L12" s="77">
        <f>IFERROR(VLOOKUP($F12,GVA!$B$7:$S$230,GVA!G$3,FALSE),VLOOKUP($F12,GVA!$B$244:$T$554,GVA!H$3,FALSE))</f>
        <v>24.94</v>
      </c>
      <c r="M12" s="77">
        <f>IFERROR(VLOOKUP($F12,GVA!$B$7:$S$230,GVA!H$3,FALSE),VLOOKUP($F12,GVA!$B$244:$T$554,GVA!I$3,FALSE))</f>
        <v>25.68</v>
      </c>
      <c r="N12" s="77">
        <f>IFERROR(VLOOKUP($F12,GVA!$B$7:$S$230,GVA!I$3,FALSE),VLOOKUP($F12,GVA!$B$244:$T$554,GVA!J$3,FALSE))</f>
        <v>25.9</v>
      </c>
      <c r="O12" s="77">
        <f>IFERROR(VLOOKUP($F12,GVA!$B$7:$S$230,GVA!J$3,FALSE),VLOOKUP($F12,GVA!$B$244:$T$554,GVA!K$3,FALSE))</f>
        <v>26.2</v>
      </c>
      <c r="P12" s="77">
        <f>IFERROR(VLOOKUP($F12,GVA!$B$7:$S$230,GVA!K$3,FALSE),VLOOKUP($F12,GVA!$B$244:$T$554,GVA!L$3,FALSE))</f>
        <v>26.04</v>
      </c>
      <c r="Q12" s="77">
        <f>IFERROR(VLOOKUP($F12,GVA!$B$7:$S$230,GVA!L$3,FALSE),VLOOKUP($F12,GVA!$B$244:$T$554,GVA!M$3,FALSE))</f>
        <v>26.3</v>
      </c>
      <c r="R12" s="77">
        <f>IFERROR(VLOOKUP($F12,GVA!$B$7:$S$230,GVA!M$3,FALSE),VLOOKUP($F12,GVA!$B$244:$T$554,GVA!N$3,FALSE))</f>
        <v>26.62</v>
      </c>
      <c r="S12" s="77">
        <f>IFERROR(VLOOKUP($F12,GVA!$B$7:$S$230,GVA!N$3,FALSE),VLOOKUP($F12,GVA!$B$244:$T$554,GVA!O$3,FALSE))</f>
        <v>27.04</v>
      </c>
      <c r="T12" s="77">
        <f>IFERROR(VLOOKUP($F12,GVA!$B$7:$S$230,GVA!O$3,FALSE),VLOOKUP($F12,GVA!$B$244:$T$554,GVA!P$3,FALSE))</f>
        <v>27.05</v>
      </c>
      <c r="U12" s="77">
        <f>IFERROR(VLOOKUP($F12,GVA!$B$7:$S$230,GVA!P$3,FALSE),VLOOKUP($F12,GVA!$B$244:$T$554,GVA!Q$3,FALSE))</f>
        <v>27.09</v>
      </c>
      <c r="V12" s="77">
        <f>IFERROR(VLOOKUP($F12,GVA!$B$7:$S$230,GVA!Q$3,FALSE),VLOOKUP($F12,GVA!$B$244:$T$554,GVA!R$3,FALSE))</f>
        <v>27.27</v>
      </c>
      <c r="W12" s="77">
        <f>IFERROR(VLOOKUP($F12,GVA!$B$7:$S$230,GVA!R$3,FALSE),VLOOKUP($F12,GVA!$B$244:$T$554,GVA!S$3,FALSE))</f>
        <v>27.67</v>
      </c>
      <c r="X12" s="77">
        <f>IFERROR(VLOOKUP($F12,GVA!$B$7:$S$230,GVA!S$3,FALSE),VLOOKUP($F12,GVA!$B$244:$T$554,GVA!T$3,FALSE))</f>
        <v>27.9</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Ashford to Rural as a Region</v>
      </c>
      <c r="G15" s="122"/>
      <c r="H15" s="123"/>
      <c r="I15" s="74">
        <f>100*((I12-I13)/I13)</f>
        <v>-2.8042298608757679</v>
      </c>
      <c r="J15" s="74">
        <f t="shared" ref="J15:X15" si="0">100*((J12-J13)/J13)</f>
        <v>-3.470799440128205</v>
      </c>
      <c r="K15" s="74">
        <f t="shared" si="0"/>
        <v>2.4981264051898617E-2</v>
      </c>
      <c r="L15" s="74">
        <f t="shared" si="0"/>
        <v>0.40835106688903705</v>
      </c>
      <c r="M15" s="74">
        <f t="shared" si="0"/>
        <v>1.6440253883886444</v>
      </c>
      <c r="N15" s="74">
        <f t="shared" si="0"/>
        <v>1.6773301054815746</v>
      </c>
      <c r="O15" s="74">
        <f t="shared" si="0"/>
        <v>1.5892945341747062</v>
      </c>
      <c r="P15" s="74">
        <f t="shared" si="0"/>
        <v>-0.51440188841434753</v>
      </c>
      <c r="Q15" s="74">
        <f t="shared" si="0"/>
        <v>-1.5376387217542544</v>
      </c>
      <c r="R15" s="74">
        <f t="shared" si="0"/>
        <v>-2.0384559780251927</v>
      </c>
      <c r="S15" s="74">
        <f t="shared" si="0"/>
        <v>-2.1163815951079243</v>
      </c>
      <c r="T15" s="74">
        <f t="shared" si="0"/>
        <v>-3.901135152509668</v>
      </c>
      <c r="U15" s="74">
        <f t="shared" si="0"/>
        <v>-6.058266695839901</v>
      </c>
      <c r="V15" s="74">
        <f t="shared" si="0"/>
        <v>-7.9364186242790735</v>
      </c>
      <c r="W15" s="74">
        <f t="shared" si="0"/>
        <v>-8.4817438348774186</v>
      </c>
      <c r="X15" s="74">
        <f t="shared" si="0"/>
        <v>-8.6782189213306467</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Ashford</v>
      </c>
      <c r="G20" s="88"/>
      <c r="H20" s="89"/>
      <c r="I20" s="80">
        <f>IF(VLOOKUP($F20,PAY!$A$11:$AE$349,4,FALSE)="-",#N/A,VLOOKUP($F20,PAY!$A$11:$AE$349,4,FALSE))</f>
        <v>416.2</v>
      </c>
      <c r="J20" s="80">
        <f>IF(VLOOKUP($F20,PAY!$A$11:$AE$349,6,FALSE)="-",#N/A,VLOOKUP($F20,PAY!$A$11:$AE$349,6,FALSE))</f>
        <v>442.7</v>
      </c>
      <c r="K20" s="80">
        <f>IF(VLOOKUP($F20,PAY!$A$11:$AE$349,8,FALSE)="-",#N/A,VLOOKUP($F20,PAY!$A$11:$AE$349,8,FALSE))</f>
        <v>462.2</v>
      </c>
      <c r="L20" s="80">
        <f>IF(VLOOKUP($F20,PAY!$A$11:$AE$349,10,FALSE)="-",#N/A,VLOOKUP($F20,PAY!$A$11:$AE$349,10,FALSE))</f>
        <v>472.2</v>
      </c>
      <c r="M20" s="80">
        <f>IF(VLOOKUP($F20,PAY!$A$11:$AE$349,12,FALSE)="-",#N/A,VLOOKUP($F20,PAY!$A$11:$AE$349,12,FALSE))</f>
        <v>467.7</v>
      </c>
      <c r="N20" s="80">
        <f>IF(VLOOKUP($F20,PAY!$A$11:$AE$349,14,FALSE)="-",#N/A,VLOOKUP($F20,PAY!$A$11:$AE$349,14,FALSE))</f>
        <v>476.1</v>
      </c>
      <c r="O20" s="80">
        <f>IF(VLOOKUP($F20,PAY!$A$11:$AE$349,16,FALSE)="-",#N/A,VLOOKUP($F20,PAY!$A$11:$AE$349,16,FALSE))</f>
        <v>469.5</v>
      </c>
      <c r="P20" s="80">
        <f>IF(VLOOKUP($F20,PAY!$A$11:$AE$349,18,FALSE)="-",#N/A,VLOOKUP($F20,PAY!$A$11:$AE$349,18,FALSE))</f>
        <v>493.4</v>
      </c>
      <c r="Q20" s="80">
        <f>IF(VLOOKUP($F20,PAY!$A$11:$AE$349,20,FALSE)="-",#N/A,VLOOKUP($F20,PAY!$A$11:$AE$349,20,FALSE))</f>
        <v>541.9</v>
      </c>
      <c r="R20" s="80">
        <f>IF(VLOOKUP($F20,PAY!$A$11:$AE$349,22,FALSE)="-",#N/A,VLOOKUP($F20,PAY!$A$11:$AE$349,22,FALSE))</f>
        <v>523.5</v>
      </c>
      <c r="S20" s="80">
        <f>IF(VLOOKUP($F20,PAY!$A$11:$AE$349,24,FALSE)="-",#N/A,VLOOKUP($F20,PAY!$A$11:$AE$349,24,FALSE))</f>
        <v>552.6</v>
      </c>
      <c r="T20" s="80">
        <f>IF(VLOOKUP($F20,PAY!$A$11:$AE$349,26,FALSE)="-",#N/A,VLOOKUP($F20,PAY!$A$11:$AE$349,26,FALSE))</f>
        <v>571.5</v>
      </c>
      <c r="U20" s="80">
        <f>IF(VLOOKUP($F20,PAY!$A$11:$AE$349,28,FALSE)="-",#N/A,VLOOKUP($F20,PAY!$A$11:$AE$349,28,FALSE))</f>
        <v>519.20000000000005</v>
      </c>
      <c r="V20" s="80">
        <f>IF(VLOOKUP($F20,PAY!$A$11:$AE$349,30,FALSE)="-",#N/A,VLOOKUP($F20,PAY!$A$11:$AE$349,30,FALSE))</f>
        <v>572.9</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Ashford to Rural as a Region</v>
      </c>
      <c r="G23" s="122"/>
      <c r="H23" s="123"/>
      <c r="I23" s="74">
        <f>100*((I20-I21)/I21)</f>
        <v>-3.8782216193460881</v>
      </c>
      <c r="J23" s="74">
        <f t="shared" ref="J23:V23" si="2">100*((J20-J21)/J21)</f>
        <v>1.3217371402414551</v>
      </c>
      <c r="K23" s="74">
        <f t="shared" si="2"/>
        <v>3.1437053860212303</v>
      </c>
      <c r="L23" s="74">
        <f t="shared" si="2"/>
        <v>4.7812457867062328</v>
      </c>
      <c r="M23" s="74">
        <f t="shared" si="2"/>
        <v>2.7363322415068163</v>
      </c>
      <c r="N23" s="74">
        <f t="shared" si="2"/>
        <v>2.7911540122326559</v>
      </c>
      <c r="O23" s="74">
        <f t="shared" si="2"/>
        <v>-0.27666198841729889</v>
      </c>
      <c r="P23" s="74">
        <f t="shared" si="2"/>
        <v>3.9127293666640814</v>
      </c>
      <c r="Q23" s="74">
        <f t="shared" si="2"/>
        <v>10.708808842202155</v>
      </c>
      <c r="R23" s="74">
        <f t="shared" si="2"/>
        <v>3.857309677176362</v>
      </c>
      <c r="S23" s="74">
        <f t="shared" si="2"/>
        <v>7.4207795101806795</v>
      </c>
      <c r="T23" s="74">
        <f t="shared" si="2"/>
        <v>7.0828695514457838</v>
      </c>
      <c r="U23" s="74">
        <f t="shared" si="2"/>
        <v>-2.2310955827301759</v>
      </c>
      <c r="V23" s="74">
        <f t="shared" si="2"/>
        <v>1.5322496268664312</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Ashford</v>
      </c>
      <c r="G28" s="88"/>
      <c r="H28" s="89"/>
      <c r="I28" s="76">
        <f>VLOOKUP($F28,EMPLOYMENT!$A$6:$BW$345,6,FALSE)</f>
        <v>79.400000000000006</v>
      </c>
      <c r="J28" s="77">
        <f>VLOOKUP($F28,EMPLOYMENT!$A$6:$BW$345,10,FALSE)</f>
        <v>78.8</v>
      </c>
      <c r="K28" s="77">
        <f>VLOOKUP($F28,EMPLOYMENT!$A$6:$BW$345,14,FALSE)</f>
        <v>74.8</v>
      </c>
      <c r="L28" s="77">
        <f>VLOOKUP($F28,EMPLOYMENT!$A$6:$BW$345,18,FALSE)</f>
        <v>80.5</v>
      </c>
      <c r="M28" s="77">
        <f>VLOOKUP($F28,EMPLOYMENT!$A$6:$BW$345,22,FALSE)</f>
        <v>79.5</v>
      </c>
      <c r="N28" s="77">
        <f>VLOOKUP($F28,EMPLOYMENT!$A$6:$BW$345,26,FALSE)</f>
        <v>78.5</v>
      </c>
      <c r="O28" s="77">
        <f>VLOOKUP($F28,EMPLOYMENT!$A$6:$BW$345,30,FALSE)</f>
        <v>76.900000000000006</v>
      </c>
      <c r="P28" s="77">
        <f>VLOOKUP($F28,EMPLOYMENT!$A$6:$BW$345,34,FALSE)</f>
        <v>72.5</v>
      </c>
      <c r="Q28" s="77">
        <f>VLOOKUP($F28,EMPLOYMENT!$A$6:$BW$345,38,FALSE)</f>
        <v>74.2</v>
      </c>
      <c r="R28" s="77">
        <f>VLOOKUP($F28,EMPLOYMENT!$A$6:$BW$345,42,FALSE)</f>
        <v>79.2</v>
      </c>
      <c r="S28" s="77">
        <f>VLOOKUP($F28,EMPLOYMENT!$A$6:$BW$345,46,FALSE)</f>
        <v>76.8</v>
      </c>
      <c r="T28" s="77">
        <f>VLOOKUP($F28,EMPLOYMENT!$A$6:$BW$345,50,FALSE)</f>
        <v>75.7</v>
      </c>
      <c r="U28" s="77">
        <f>VLOOKUP($F28,EMPLOYMENT!$A$6:$BW$345,54,FALSE)</f>
        <v>79.099999999999994</v>
      </c>
      <c r="V28" s="77">
        <f>VLOOKUP($F28,EMPLOYMENT!$A$6:$BW$345,58,FALSE)</f>
        <v>76.3</v>
      </c>
      <c r="W28" s="77">
        <f>VLOOKUP($F28,EMPLOYMENT!$A$6:$BW$345,62,FALSE)</f>
        <v>79.900000000000006</v>
      </c>
      <c r="X28" s="77">
        <f>VLOOKUP($F28,EMPLOYMENT!$A$6:$BW$345,66,FALSE)</f>
        <v>78.8</v>
      </c>
      <c r="Y28" s="77">
        <f>VLOOKUP($F28,EMPLOYMENT!$A$6:$BW$345,70,FALSE)</f>
        <v>79.3</v>
      </c>
      <c r="Z28" s="77">
        <f>VLOOKUP($F28,EMPLOYMENT!$A$6:$BW$345,74,FALSE)</f>
        <v>72.5</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Ashford to Rural as a Region</v>
      </c>
      <c r="G31" s="122"/>
      <c r="H31" s="123"/>
      <c r="I31" s="74">
        <f>(I28-I29)</f>
        <v>3.2886580805982675</v>
      </c>
      <c r="J31" s="74">
        <f t="shared" ref="J31:Z31" si="4">(J28-J29)</f>
        <v>2.4870245333170402</v>
      </c>
      <c r="K31" s="74">
        <f t="shared" si="4"/>
        <v>-1.073188899486766</v>
      </c>
      <c r="L31" s="74">
        <f t="shared" si="4"/>
        <v>4.8595316973721623</v>
      </c>
      <c r="M31" s="74">
        <f t="shared" si="4"/>
        <v>3.7644756266682577</v>
      </c>
      <c r="N31" s="74">
        <f t="shared" si="4"/>
        <v>3.9904601571268188</v>
      </c>
      <c r="O31" s="74">
        <f t="shared" si="4"/>
        <v>3.3528668610301366</v>
      </c>
      <c r="P31" s="74">
        <f t="shared" si="4"/>
        <v>-1.2342954032776134</v>
      </c>
      <c r="Q31" s="74">
        <f t="shared" si="4"/>
        <v>0.16684252453742943</v>
      </c>
      <c r="R31" s="74">
        <f t="shared" si="4"/>
        <v>4.4555250700997959</v>
      </c>
      <c r="S31" s="74">
        <f t="shared" si="4"/>
        <v>0.69113965992438864</v>
      </c>
      <c r="T31" s="74">
        <f t="shared" si="4"/>
        <v>-1.4905319756090165</v>
      </c>
      <c r="U31" s="74">
        <f t="shared" si="4"/>
        <v>2.1283675182919524</v>
      </c>
      <c r="V31" s="74">
        <f t="shared" si="4"/>
        <v>-1.7327868852459005</v>
      </c>
      <c r="W31" s="74">
        <f t="shared" si="4"/>
        <v>1.8518431065858607</v>
      </c>
      <c r="X31" s="74">
        <f t="shared" si="4"/>
        <v>0.20870062104329179</v>
      </c>
      <c r="Y31" s="74">
        <f t="shared" si="4"/>
        <v>2.2856537038707927</v>
      </c>
      <c r="Z31" s="74">
        <f t="shared" si="4"/>
        <v>-3.6557580778790424</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Ashford</v>
      </c>
      <c r="G36" s="88" t="str">
        <f>IFERROR(VLOOKUP(F36,GDHI!B338:C574,2,FALSE),VLOOKUP(F36,GDHI!C3:C336,1,FALSE))</f>
        <v>Ashford</v>
      </c>
      <c r="H36" s="89" t="str">
        <f>IF(F36=G36,"",G36)</f>
        <v/>
      </c>
      <c r="I36" s="83">
        <f>IFERROR(VLOOKUP($F36,GDHI!$B$338:$U$574,GDHI!G$578,FALSE),VLOOKUP($F36,GDHI!$C$3:$U$336,GDHI!F$578,FALSE))</f>
        <v>15220</v>
      </c>
      <c r="J36" s="84">
        <f>IFERROR(VLOOKUP($F36,GDHI!$B$338:$U$574,GDHI!H$578,FALSE),VLOOKUP($F36,GDHI!$C$3:$U$336,GDHI!G$578,FALSE))</f>
        <v>15636</v>
      </c>
      <c r="K36" s="84">
        <f>IFERROR(VLOOKUP($F36,GDHI!$B$338:$U$574,GDHI!I$578,FALSE),VLOOKUP($F36,GDHI!$C$3:$U$336,GDHI!H$578,FALSE))</f>
        <v>16027</v>
      </c>
      <c r="L36" s="84">
        <f>IFERROR(VLOOKUP($F36,GDHI!$B$338:$U$574,GDHI!J$578,FALSE),VLOOKUP($F36,GDHI!$C$3:$U$336,GDHI!I$578,FALSE))</f>
        <v>16724</v>
      </c>
      <c r="M36" s="84">
        <f>IFERROR(VLOOKUP($F36,GDHI!$B$338:$U$574,GDHI!K$578,FALSE),VLOOKUP($F36,GDHI!$C$3:$U$336,GDHI!J$578,FALSE))</f>
        <v>17093</v>
      </c>
      <c r="N36" s="84">
        <f>IFERROR(VLOOKUP($F36,GDHI!$B$338:$U$574,GDHI!L$578,FALSE),VLOOKUP($F36,GDHI!$C$3:$U$336,GDHI!K$578,FALSE))</f>
        <v>17358</v>
      </c>
      <c r="O36" s="84">
        <f>IFERROR(VLOOKUP($F36,GDHI!$B$338:$U$574,GDHI!M$578,FALSE),VLOOKUP($F36,GDHI!$C$3:$U$336,GDHI!L$578,FALSE))</f>
        <v>17501</v>
      </c>
      <c r="P36" s="84">
        <f>IFERROR(VLOOKUP($F36,GDHI!$B$338:$U$574,GDHI!N$578,FALSE),VLOOKUP($F36,GDHI!$C$3:$U$336,GDHI!M$578,FALSE))</f>
        <v>17576</v>
      </c>
      <c r="Q36" s="84">
        <f>IFERROR(VLOOKUP($F36,GDHI!$B$338:$U$574,GDHI!O$578,FALSE),VLOOKUP($F36,GDHI!$C$3:$U$336,GDHI!N$578,FALSE))</f>
        <v>18204</v>
      </c>
      <c r="R36" s="84">
        <f>IFERROR(VLOOKUP($F36,GDHI!$B$338:$U$574,GDHI!P$578,FALSE),VLOOKUP($F36,GDHI!$C$3:$U$336,GDHI!O$578,FALSE))</f>
        <v>18861</v>
      </c>
      <c r="S36" s="84">
        <f>IFERROR(VLOOKUP($F36,GDHI!$B$338:$U$574,GDHI!Q$578,FALSE),VLOOKUP($F36,GDHI!$C$3:$U$336,GDHI!P$578,FALSE))</f>
        <v>19326</v>
      </c>
      <c r="T36" s="84">
        <f>IFERROR(VLOOKUP($F36,GDHI!$B$338:$U$574,GDHI!R$578,FALSE),VLOOKUP($F36,GDHI!$C$3:$U$336,GDHI!Q$578,FALSE))</f>
        <v>20028</v>
      </c>
      <c r="U36" s="84">
        <f>IFERROR(VLOOKUP($F36,GDHI!$B$338:$U$574,GDHI!S$578,FALSE),VLOOKUP($F36,GDHI!$C$3:$U$336,GDHI!R$578,FALSE))</f>
        <v>20529</v>
      </c>
      <c r="V36" s="84">
        <f>IFERROR(VLOOKUP($F36,GDHI!$B$338:$U$574,GDHI!T$578,FALSE),VLOOKUP($F36,GDHI!$C$3:$U$336,GDHI!S$578,FALSE))</f>
        <v>20710</v>
      </c>
      <c r="W36" s="84">
        <f>IFERROR(VLOOKUP($F36,GDHI!$B$338:$U$574,GDHI!U$578,FALSE),VLOOKUP($F36,GDHI!$C$3:$U$336,GDHI!T$578,FALSE))</f>
        <v>21652</v>
      </c>
      <c r="X36" s="84">
        <f>IFERROR(VLOOKUP($F36,GDHI!$B$338:$U$574,GDHI!V$578,FALSE),VLOOKUP($F36,GDHI!$C$3:$U$336,GDHI!U$578,FALSE))</f>
        <v>21967</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Ashford to Rural as a Region</v>
      </c>
      <c r="G39" s="122"/>
      <c r="H39" s="123"/>
      <c r="I39" s="74">
        <f>100*((I36-I37)/I37)</f>
        <v>3.4705462456235763</v>
      </c>
      <c r="J39" s="74">
        <f t="shared" ref="J39:X39" si="6">100*((J36-J37)/J37)</f>
        <v>1.9200252040652361</v>
      </c>
      <c r="K39" s="74">
        <f t="shared" si="6"/>
        <v>0.64569376756370522</v>
      </c>
      <c r="L39" s="74">
        <f t="shared" si="6"/>
        <v>0.94048617293477177</v>
      </c>
      <c r="M39" s="74">
        <f t="shared" si="6"/>
        <v>0.17365241470346501</v>
      </c>
      <c r="N39" s="74">
        <f t="shared" si="6"/>
        <v>0.37635833554200199</v>
      </c>
      <c r="O39" s="74">
        <f t="shared" si="6"/>
        <v>-3.9505937790054284E-2</v>
      </c>
      <c r="P39" s="74">
        <f t="shared" si="6"/>
        <v>-1.2586911217465939</v>
      </c>
      <c r="Q39" s="74">
        <f t="shared" si="6"/>
        <v>-0.88399208179551059</v>
      </c>
      <c r="R39" s="74">
        <f t="shared" si="6"/>
        <v>-6.8562662930941737E-2</v>
      </c>
      <c r="S39" s="74">
        <f t="shared" si="6"/>
        <v>-0.36108262181704759</v>
      </c>
      <c r="T39" s="74">
        <f t="shared" si="6"/>
        <v>-2.1035762542027809</v>
      </c>
      <c r="U39" s="74">
        <f t="shared" si="6"/>
        <v>-0.46499493215553755</v>
      </c>
      <c r="V39" s="74">
        <f t="shared" si="6"/>
        <v>-1.2186126746847576</v>
      </c>
      <c r="W39" s="74">
        <f t="shared" si="6"/>
        <v>-0.8693434086328331</v>
      </c>
      <c r="X39" s="74">
        <f t="shared" si="6"/>
        <v>-1.339003812816439</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Ashford</v>
      </c>
      <c r="G44" s="88"/>
      <c r="H44" s="89"/>
      <c r="I44" s="76">
        <f>VLOOKUP($F44,'LOW PAID'!$A$9:$N$444,6,FALSE)</f>
        <v>25.6</v>
      </c>
      <c r="J44" s="77">
        <f>VLOOKUP($F44,'LOW PAID'!$P$9:$W$444,6,FALSE)</f>
        <v>22</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Ashford to Rural as a Region</v>
      </c>
      <c r="G47" s="122"/>
      <c r="H47" s="123"/>
      <c r="I47" s="74">
        <f>(I44-I45)</f>
        <v>0.40612532178688454</v>
      </c>
      <c r="J47" s="74">
        <f>(J44-J45)</f>
        <v>-3.6861165090300538</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Ashford</v>
      </c>
      <c r="G52" s="88"/>
      <c r="H52" s="89"/>
      <c r="I52" s="76">
        <f>VLOOKUP($F52,INACTIVITY!$A$6:$BW$345,6,FALSE)</f>
        <v>19.3</v>
      </c>
      <c r="J52" s="77">
        <f>VLOOKUP($F52,INACTIVITY!$A$6:$BW$345,10,FALSE)</f>
        <v>17.899999999999999</v>
      </c>
      <c r="K52" s="77">
        <f>VLOOKUP($F52,INACTIVITY!$A$6:$BW$345,14,FALSE)</f>
        <v>20.100000000000001</v>
      </c>
      <c r="L52" s="77">
        <f>VLOOKUP($F52,INACTIVITY!$A$6:$BW$345,18,FALSE)</f>
        <v>15</v>
      </c>
      <c r="M52" s="77">
        <f>VLOOKUP($F52,INACTIVITY!$A$6:$BW$345,22,FALSE)</f>
        <v>17.399999999999999</v>
      </c>
      <c r="N52" s="77">
        <f>VLOOKUP($F52,INACTIVITY!$A$6:$BW$345,26,FALSE)</f>
        <v>18.3</v>
      </c>
      <c r="O52" s="77">
        <f>VLOOKUP($F52,INACTIVITY!$A$6:$BW$345,30,FALSE)</f>
        <v>18.7</v>
      </c>
      <c r="P52" s="77">
        <f>VLOOKUP($F52,INACTIVITY!$A$6:$BW$345,34,FALSE)</f>
        <v>23.5</v>
      </c>
      <c r="Q52" s="77">
        <f>VLOOKUP($F52,INACTIVITY!$A$6:$BW$345,38,FALSE)</f>
        <v>21.5</v>
      </c>
      <c r="R52" s="77">
        <f>VLOOKUP($F52,INACTIVITY!$A$6:$BW$345,42,FALSE)</f>
        <v>15.4</v>
      </c>
      <c r="S52" s="77">
        <f>VLOOKUP($F52,INACTIVITY!$A$6:$BW$345,46,FALSE)</f>
        <v>19.899999999999999</v>
      </c>
      <c r="T52" s="77">
        <f>VLOOKUP($F52,INACTIVITY!$A$6:$BW$345,50,FALSE)</f>
        <v>19.899999999999999</v>
      </c>
      <c r="U52" s="77">
        <f>VLOOKUP($F52,INACTIVITY!$A$6:$BW$345,54,FALSE)</f>
        <v>16</v>
      </c>
      <c r="V52" s="77">
        <f>VLOOKUP($F52,INACTIVITY!$A$6:$BW$345,58,FALSE)</f>
        <v>22</v>
      </c>
      <c r="W52" s="77">
        <f>VLOOKUP($F52,INACTIVITY!$A$6:$BW$345,62,FALSE)</f>
        <v>16.600000000000001</v>
      </c>
      <c r="X52" s="77">
        <f>VLOOKUP($F52,INACTIVITY!$A$6:$BW$345,66,FALSE)</f>
        <v>16.399999999999999</v>
      </c>
      <c r="Y52" s="77">
        <f>VLOOKUP($F52,INACTIVITY!$A$6:$BW$345,70,FALSE)</f>
        <v>16.8</v>
      </c>
      <c r="Z52" s="77">
        <f>VLOOKUP($F52,INACTIVITY!$A$6:$BW$345,74,FALSE)</f>
        <v>21</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Ashford to Rural as a Region</v>
      </c>
      <c r="G55" s="122"/>
      <c r="H55" s="123"/>
      <c r="I55" s="74">
        <f>(I52-I53)</f>
        <v>-2.0956445716102365</v>
      </c>
      <c r="J55" s="74">
        <f t="shared" ref="J55:Z55" si="10">(J52-J53)</f>
        <v>-3.108522727272728</v>
      </c>
      <c r="K55" s="74">
        <f t="shared" si="10"/>
        <v>-0.76246539345877551</v>
      </c>
      <c r="L55" s="74">
        <f t="shared" si="10"/>
        <v>-6.3140653315366393</v>
      </c>
      <c r="M55" s="74">
        <f t="shared" si="10"/>
        <v>-3.4350023108920062</v>
      </c>
      <c r="N55" s="74">
        <f t="shared" si="10"/>
        <v>-2.6331437579204398</v>
      </c>
      <c r="O55" s="74">
        <f t="shared" si="10"/>
        <v>-2.9919371275051745</v>
      </c>
      <c r="P55" s="74">
        <f t="shared" si="10"/>
        <v>2.0057542192465512</v>
      </c>
      <c r="Q55" s="74">
        <f t="shared" si="10"/>
        <v>0.31745120551090622</v>
      </c>
      <c r="R55" s="74">
        <f t="shared" si="10"/>
        <v>-5.3745930974387708</v>
      </c>
      <c r="S55" s="74">
        <f t="shared" si="10"/>
        <v>-0.37321045597240143</v>
      </c>
      <c r="T55" s="74">
        <f t="shared" si="10"/>
        <v>0.20380531659304069</v>
      </c>
      <c r="U55" s="74">
        <f t="shared" si="10"/>
        <v>-3.8524293470694708</v>
      </c>
      <c r="V55" s="74">
        <f t="shared" si="10"/>
        <v>2.7467226657196235</v>
      </c>
      <c r="W55" s="74">
        <f t="shared" si="10"/>
        <v>-2.5769560091828474</v>
      </c>
      <c r="X55" s="74">
        <f t="shared" si="10"/>
        <v>-2.4520649493649316</v>
      </c>
      <c r="Y55" s="74">
        <f t="shared" si="10"/>
        <v>-2.9725827218714613</v>
      </c>
      <c r="Z55" s="74">
        <f t="shared" si="10"/>
        <v>-8.5179775630070509E-2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Ashford</v>
      </c>
      <c r="G60" s="88"/>
      <c r="H60" s="89"/>
      <c r="I60" s="76">
        <f>VLOOKUP($F60,DISABILITY!$A$718:$I$1052,DISABILITY!B$1053,FALSE)</f>
        <v>27.000000000000007</v>
      </c>
      <c r="J60" s="77">
        <f>VLOOKUP($F60,DISABILITY!$A$718:$I$1052,DISABILITY!C$1053,FALSE)</f>
        <v>24.700000000000003</v>
      </c>
      <c r="K60" s="77">
        <f>VLOOKUP($F60,DISABILITY!$A$718:$I$1052,DISABILITY!D$1053,FALSE)</f>
        <v>24.1</v>
      </c>
      <c r="L60" s="77">
        <f>VLOOKUP($F60,DISABILITY!$A$718:$I$1052,DISABILITY!E$1053,FALSE)</f>
        <v>19.099999999999994</v>
      </c>
      <c r="M60" s="77">
        <f>VLOOKUP($F60,DISABILITY!$A$718:$I$1052,DISABILITY!F$1053,FALSE)</f>
        <v>33.999999999999993</v>
      </c>
      <c r="N60" s="77">
        <f>VLOOKUP($F60,DISABILITY!$A$718:$I$1052,DISABILITY!G$1053,FALSE)</f>
        <v>35.1</v>
      </c>
      <c r="O60" s="77">
        <f>VLOOKUP($F60,DISABILITY!$A$718:$I$1052,DISABILITY!H$1053,FALSE)</f>
        <v>41.699999999999996</v>
      </c>
      <c r="P60" s="77">
        <f>VLOOKUP($F60,DISABILITY!$A$718:$I$1052,DISABILITY!I$1053,FALSE)</f>
        <v>26.199999999999996</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Ashford to Rural as a Region</v>
      </c>
      <c r="G63" s="122"/>
      <c r="H63" s="123"/>
      <c r="I63" s="74">
        <f>(I60-I61)</f>
        <v>-0.42015654064724117</v>
      </c>
      <c r="J63" s="74">
        <f t="shared" ref="J63:P63" si="12">(J60-J61)</f>
        <v>-2.6190444070511845</v>
      </c>
      <c r="K63" s="74">
        <f t="shared" si="12"/>
        <v>-4.0191283614982041</v>
      </c>
      <c r="L63" s="74">
        <f t="shared" si="12"/>
        <v>-6.8909345389966816</v>
      </c>
      <c r="M63" s="74">
        <f t="shared" si="12"/>
        <v>8.5247741813338749</v>
      </c>
      <c r="N63" s="74">
        <f t="shared" si="12"/>
        <v>9.5687523145580187</v>
      </c>
      <c r="O63" s="74">
        <f t="shared" si="12"/>
        <v>17.902777712003051</v>
      </c>
      <c r="P63" s="74">
        <f t="shared" si="12"/>
        <v>0.84582206965782092</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Ashford</v>
      </c>
      <c r="G68" s="88"/>
      <c r="H68" s="89"/>
      <c r="I68" s="76">
        <f>VLOOKUP($F68,'WORKLESS HOUSEHOLDS'!$DW$4:$EC$397,7,FALSE)</f>
        <v>8.9468757047264766</v>
      </c>
      <c r="J68" s="77">
        <f>VLOOKUP($F68,'WORKLESS HOUSEHOLDS'!$DN$4:$DT$397,7,FALSE)</f>
        <v>10.426538137018191</v>
      </c>
      <c r="K68" s="77">
        <f>VLOOKUP($F68,'WORKLESS HOUSEHOLDS'!$DE$4:$DK$397,7,FALSE)</f>
        <v>13.230049082095546</v>
      </c>
      <c r="L68" s="77">
        <f>VLOOKUP($F68,'WORKLESS HOUSEHOLDS'!$CV$4:$DB$397,7,FALSE)</f>
        <v>8.7757414408440475</v>
      </c>
      <c r="M68" s="77">
        <f>VLOOKUP($F68,'WORKLESS HOUSEHOLDS'!$CM$4:$CS$397,7,FALSE)</f>
        <v>10.622361349274801</v>
      </c>
      <c r="N68" s="77">
        <f>VLOOKUP($F68,'WORKLESS HOUSEHOLDS'!$CD$4:$CJ$397,7,FALSE)</f>
        <v>9.2913722971526429</v>
      </c>
      <c r="O68" s="77">
        <f>VLOOKUP($F68,'WORKLESS HOUSEHOLDS'!$BU$4:$CA$397,7,FALSE)</f>
        <v>16.414228624993832</v>
      </c>
      <c r="P68" s="77">
        <f>VLOOKUP($F68,'WORKLESS HOUSEHOLDS'!$BL$4:$BR$397,7,FALSE)</f>
        <v>14.964535489311045</v>
      </c>
      <c r="Q68" s="77">
        <f>VLOOKUP($F68,'WORKLESS HOUSEHOLDS'!$BC$4:$BI$397,7,FALSE)</f>
        <v>9.6826919660306299</v>
      </c>
      <c r="R68" s="77">
        <f>VLOOKUP($F68,'WORKLESS HOUSEHOLDS'!$AT$4:$AZ$397,7,FALSE)</f>
        <v>9.8320968371729798</v>
      </c>
      <c r="S68" s="77">
        <f>VLOOKUP($F68,'WORKLESS HOUSEHOLDS'!$AK$4:$AQ$397,7,FALSE)</f>
        <v>10.489748140316429</v>
      </c>
      <c r="T68" s="77">
        <f>VLOOKUP($F68,'WORKLESS HOUSEHOLDS'!$AB$4:$AH$397,7,FALSE)</f>
        <v>8.5965041128084607</v>
      </c>
      <c r="U68" s="77">
        <f>VLOOKUP($F68,'WORKLESS HOUSEHOLDS'!$S$4:$Y$397,7,FALSE)</f>
        <v>9.0613012955055368</v>
      </c>
      <c r="V68" s="77">
        <f>VLOOKUP($F68,'WORKLESS HOUSEHOLDS'!$J$4:$P$397,7,FALSE)</f>
        <v>10.793754866204974</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Ashford to Rural as a Region</v>
      </c>
      <c r="G71" s="122"/>
      <c r="H71" s="123"/>
      <c r="I71" s="74">
        <f>(I68-I69)</f>
        <v>-1.0650701578602142</v>
      </c>
      <c r="J71" s="74">
        <f t="shared" ref="J71:W71" si="14">(J68-J69)</f>
        <v>-0.48461670045683292</v>
      </c>
      <c r="K71" s="74">
        <f t="shared" si="14"/>
        <v>2.9368033529397017</v>
      </c>
      <c r="L71" s="74">
        <f t="shared" si="14"/>
        <v>-2.1902652204856849</v>
      </c>
      <c r="M71" s="74">
        <f t="shared" si="14"/>
        <v>-1.0714178319136725</v>
      </c>
      <c r="N71" s="74">
        <f t="shared" si="14"/>
        <v>-2.6097273821027382</v>
      </c>
      <c r="O71" s="74">
        <f t="shared" si="14"/>
        <v>5.3789753772513205</v>
      </c>
      <c r="P71" s="74">
        <f t="shared" si="14"/>
        <v>5.2730376035432069</v>
      </c>
      <c r="Q71" s="74">
        <f t="shared" si="14"/>
        <v>-1.122486294367782</v>
      </c>
      <c r="R71" s="74">
        <f t="shared" si="14"/>
        <v>-0.87399948655657411</v>
      </c>
      <c r="S71" s="74">
        <f t="shared" si="14"/>
        <v>0.33700331216754797</v>
      </c>
      <c r="T71" s="74">
        <f t="shared" si="14"/>
        <v>-1.3071640818242898</v>
      </c>
      <c r="U71" s="74">
        <f t="shared" si="14"/>
        <v>-1.700748869173939</v>
      </c>
      <c r="V71" s="74">
        <f t="shared" si="14"/>
        <v>0.85488638966532626</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Ashford</v>
      </c>
      <c r="G76" s="88"/>
      <c r="H76" s="89"/>
      <c r="I76" s="76">
        <f>VLOOKUP($F76,'SKILLED EMPLOYMENT'!$A$1506:$BW$1841,6,FALSE)</f>
        <v>55.3</v>
      </c>
      <c r="J76" s="77">
        <f>VLOOKUP($F76,'SKILLED EMPLOYMENT'!$A$1506:$BW$1841,10,FALSE)</f>
        <v>48.5</v>
      </c>
      <c r="K76" s="77">
        <f>VLOOKUP($F76,'SKILLED EMPLOYMENT'!$A$1506:$BW$1841,14,FALSE)</f>
        <v>49.099999999999994</v>
      </c>
      <c r="L76" s="77">
        <f>VLOOKUP($F76,'SKILLED EMPLOYMENT'!$A$1506:$BW$1841,18,FALSE)</f>
        <v>56.7</v>
      </c>
      <c r="M76" s="77">
        <f>VLOOKUP($F76,'SKILLED EMPLOYMENT'!$A$1506:$BW$1841,22,FALSE)</f>
        <v>50.1</v>
      </c>
      <c r="N76" s="77">
        <f>VLOOKUP($F76,'SKILLED EMPLOYMENT'!$A$1506:$BW$1841,26,FALSE)</f>
        <v>46.3</v>
      </c>
      <c r="O76" s="77">
        <f>VLOOKUP($F76,'SKILLED EMPLOYMENT'!$A$1506:$BW$1841,30,FALSE)</f>
        <v>45.400000000000006</v>
      </c>
      <c r="P76" s="77">
        <f>VLOOKUP($F76,'SKILLED EMPLOYMENT'!$A$1506:$BW$1841,34,FALSE)</f>
        <v>59.6</v>
      </c>
      <c r="Q76" s="77">
        <f>VLOOKUP($F76,'SKILLED EMPLOYMENT'!$A$1506:$BW$1841,38,FALSE)</f>
        <v>56.4</v>
      </c>
      <c r="R76" s="77">
        <f>VLOOKUP($F76,'SKILLED EMPLOYMENT'!$A$1506:$BW$1841,42,FALSE)</f>
        <v>50.5</v>
      </c>
      <c r="S76" s="77">
        <f>VLOOKUP($F76,'SKILLED EMPLOYMENT'!$A$1506:$BW$1841,46,FALSE)</f>
        <v>50.599999999999994</v>
      </c>
      <c r="T76" s="77">
        <f>VLOOKUP($F76,'SKILLED EMPLOYMENT'!$A$1506:$BW$1841,50,FALSE)</f>
        <v>47.6</v>
      </c>
      <c r="U76" s="77">
        <f>VLOOKUP($F76,'SKILLED EMPLOYMENT'!$A$1506:$BW$1841,54,FALSE)</f>
        <v>51.3</v>
      </c>
      <c r="V76" s="77">
        <f>VLOOKUP($F76,'SKILLED EMPLOYMENT'!$A$1506:$BW$1841,58,FALSE)</f>
        <v>55.1</v>
      </c>
      <c r="W76" s="77">
        <f>VLOOKUP($F76,'SKILLED EMPLOYMENT'!$A$1506:$BW$1841,62,FALSE)</f>
        <v>55.800000000000004</v>
      </c>
      <c r="X76" s="77">
        <f>VLOOKUP($F76,'SKILLED EMPLOYMENT'!$A$1506:$BW$1841,66,FALSE)</f>
        <v>64.5</v>
      </c>
      <c r="Y76" s="77">
        <f>VLOOKUP($F76,'SKILLED EMPLOYMENT'!$A$1506:$BW$1841,70,FALSE)</f>
        <v>66.3</v>
      </c>
      <c r="Z76" s="77">
        <f>VLOOKUP($F76,'SKILLED EMPLOYMENT'!$A$1506:$BW$1841,74,FALSE)</f>
        <v>60.800000000000004</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Ashford to Rural as a Region</v>
      </c>
      <c r="G79" s="122"/>
      <c r="H79" s="123"/>
      <c r="I79" s="74">
        <f>(I76-I77)</f>
        <v>2.5999999999999943</v>
      </c>
      <c r="J79" s="74">
        <f t="shared" ref="J79:Z79" si="17">(J76-J77)</f>
        <v>-4.3999999999999986</v>
      </c>
      <c r="K79" s="74">
        <f t="shared" si="17"/>
        <v>-4.4000000000000057</v>
      </c>
      <c r="L79" s="74">
        <f t="shared" si="17"/>
        <v>2.7000000000000028</v>
      </c>
      <c r="M79" s="74">
        <f t="shared" si="17"/>
        <v>-4</v>
      </c>
      <c r="N79" s="74">
        <f t="shared" si="17"/>
        <v>-8.1000000000000014</v>
      </c>
      <c r="O79" s="74">
        <f t="shared" si="17"/>
        <v>-9.9999999999999929</v>
      </c>
      <c r="P79" s="74">
        <f t="shared" si="17"/>
        <v>4</v>
      </c>
      <c r="Q79" s="74">
        <f t="shared" si="17"/>
        <v>1</v>
      </c>
      <c r="R79" s="74">
        <f t="shared" si="17"/>
        <v>-5.7000000000000028</v>
      </c>
      <c r="S79" s="74">
        <f t="shared" si="17"/>
        <v>-5.6000000000000085</v>
      </c>
      <c r="T79" s="74">
        <f t="shared" si="17"/>
        <v>-9.1999999999999957</v>
      </c>
      <c r="U79" s="74">
        <f t="shared" si="17"/>
        <v>-5.3000000000000043</v>
      </c>
      <c r="V79" s="74">
        <f t="shared" si="17"/>
        <v>-2</v>
      </c>
      <c r="W79" s="74">
        <f t="shared" si="17"/>
        <v>-1.9999999999999929</v>
      </c>
      <c r="X79" s="74">
        <f t="shared" si="17"/>
        <v>5.7000000000000028</v>
      </c>
      <c r="Y79" s="74">
        <f t="shared" si="17"/>
        <v>7.5999999999999943</v>
      </c>
      <c r="Z79" s="74">
        <f t="shared" si="17"/>
        <v>2.4000000000000057</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Yp+/9IMimYdWlfGEXvQgYYKlsQe2O7CKH1DfmoSV9QCIN4iHyz6bELEsorvKX/sQhoTsf40rusnfDEtE26Be4Q==" saltValue="JHqLR7U70RgG7Q/l63bNq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2022-08-02T10:55:48Z</dcterms:modified>
</cp:coreProperties>
</file>