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8" documentId="8_{E9C86FF8-140C-4CD4-A190-E0A8FB1DA916}" xr6:coauthVersionLast="47" xr6:coauthVersionMax="47" xr10:uidLastSave="{B8181B65-3B0A-4A6F-AE02-A1A4AEDB50DF}"/>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<sst xmlns="http://schemas.openxmlformats.org/spreadsheetml/2006/main" count="32859" uniqueCount="1676">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</sst>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Boston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19.649999999999999</c:v>
                </c:pt>
                <c:pt idx="1">
                  <c:v>19.91</c:v>
                </c:pt>
                <c:pt idx="2">
                  <c:v>19.420000000000002</c:v>
                </c:pt>
                <c:pt idx="3">
                  <c:v>19.66</c:v>
                </c:pt>
                <c:pt idx="4">
                  <c:v>20.18</c:v>
                </c:pt>
                <c:pt idx="5">
                  <c:v>20.18</c:v>
                </c:pt>
                <c:pt idx="6">
                  <c:v>19.88</c:v>
                </c:pt>
                <c:pt idx="7">
                  <c:v>19.71</c:v>
                </c:pt>
                <c:pt idx="8">
                  <c:v>20.260000000000002</c:v>
                </c:pt>
                <c:pt idx="9">
                  <c:v>21.41</c:v>
                </c:pt>
                <c:pt idx="10">
                  <c:v>22.7</c:v>
                </c:pt>
                <c:pt idx="11">
                  <c:v>23.44</c:v>
                </c:pt>
                <c:pt idx="12">
                  <c:v>23.76</c:v>
                </c:pt>
                <c:pt idx="13">
                  <c:v>24.32</c:v>
                </c:pt>
                <c:pt idx="14">
                  <c:v>25.13</c:v>
                </c:pt>
                <c:pt idx="15">
                  <c:v>25.91</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Boston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370.2</c:v>
                </c:pt>
                <c:pt idx="1">
                  <c:v>414.9</c:v>
                </c:pt>
                <c:pt idx="2">
                  <c:v>407</c:v>
                </c:pt>
                <c:pt idx="3">
                  <c:v>407.7</c:v>
                </c:pt>
                <c:pt idx="4">
                  <c:v>405.8</c:v>
                </c:pt>
                <c:pt idx="5">
                  <c:v>415.9</c:v>
                </c:pt>
                <c:pt idx="6">
                  <c:v>436.3</c:v>
                </c:pt>
                <c:pt idx="7">
                  <c:v>416.2</c:v>
                </c:pt>
                <c:pt idx="8">
                  <c:v>428.4</c:v>
                </c:pt>
                <c:pt idx="9">
                  <c:v>439.9</c:v>
                </c:pt>
                <c:pt idx="10">
                  <c:v>439.2</c:v>
                </c:pt>
                <c:pt idx="11">
                  <c:v>490.5</c:v>
                </c:pt>
                <c:pt idx="12">
                  <c:v>460.3</c:v>
                </c:pt>
                <c:pt idx="13">
                  <c:v>503.1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Boston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73.599999999999994</c:v>
                </c:pt>
                <c:pt idx="1">
                  <c:v>73.599999999999994</c:v>
                </c:pt>
                <c:pt idx="2">
                  <c:v>77.599999999999994</c:v>
                </c:pt>
                <c:pt idx="3">
                  <c:v>72.2</c:v>
                </c:pt>
                <c:pt idx="4">
                  <c:v>79.400000000000006</c:v>
                </c:pt>
                <c:pt idx="5">
                  <c:v>75.7</c:v>
                </c:pt>
                <c:pt idx="6">
                  <c:v>67.599999999999994</c:v>
                </c:pt>
                <c:pt idx="7">
                  <c:v>63.7</c:v>
                </c:pt>
                <c:pt idx="8">
                  <c:v>75.400000000000006</c:v>
                </c:pt>
                <c:pt idx="9">
                  <c:v>82</c:v>
                </c:pt>
                <c:pt idx="10">
                  <c:v>67.7</c:v>
                </c:pt>
                <c:pt idx="11">
                  <c:v>68.8</c:v>
                </c:pt>
                <c:pt idx="12">
                  <c:v>73.2</c:v>
                </c:pt>
                <c:pt idx="13">
                  <c:v>74.400000000000006</c:v>
                </c:pt>
                <c:pt idx="14">
                  <c:v>80.099999999999994</c:v>
                </c:pt>
                <c:pt idx="15">
                  <c:v>78.400000000000006</c:v>
                </c:pt>
                <c:pt idx="16">
                  <c:v>75</c:v>
                </c:pt>
                <c:pt idx="17">
                  <c:v>73.099999999999994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Boston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12263</c:v>
                </c:pt>
                <c:pt idx="1">
                  <c:v>12722</c:v>
                </c:pt>
                <c:pt idx="2">
                  <c:v>12865</c:v>
                </c:pt>
                <c:pt idx="3">
                  <c:v>13472</c:v>
                </c:pt>
                <c:pt idx="4">
                  <c:v>13631</c:v>
                </c:pt>
                <c:pt idx="5">
                  <c:v>14052</c:v>
                </c:pt>
                <c:pt idx="6">
                  <c:v>14214</c:v>
                </c:pt>
                <c:pt idx="7">
                  <c:v>14727</c:v>
                </c:pt>
                <c:pt idx="8">
                  <c:v>15276</c:v>
                </c:pt>
                <c:pt idx="9">
                  <c:v>15449</c:v>
                </c:pt>
                <c:pt idx="10">
                  <c:v>15760</c:v>
                </c:pt>
                <c:pt idx="11">
                  <c:v>16324</c:v>
                </c:pt>
                <c:pt idx="12">
                  <c:v>16308</c:v>
                </c:pt>
                <c:pt idx="13">
                  <c:v>16778</c:v>
                </c:pt>
                <c:pt idx="14">
                  <c:v>17611</c:v>
                </c:pt>
                <c:pt idx="15">
                  <c:v>17826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Boston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39.799999999999997</c:v>
                </c:pt>
                <c:pt idx="1">
                  <c:v>38.299999999999997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Boston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c:v>
                </c:pt>
                <c:pt idx="1">
                  <c:v>21.7</c:v>
                </c:pt>
                <c:pt idx="2">
                  <c:v>16.8</c:v>
                </c:pt>
                <c:pt idx="3">
                  <c:v>20.8</c:v>
                </c:pt>
                <c:pt idx="4">
                  <c:v>18.399999999999999</c:v>
                </c:pt>
                <c:pt idx="5">
                  <c:v>18.899999999999999</c:v>
                </c:pt>
                <c:pt idx="6">
                  <c:v>28.5</c:v>
                </c:pt>
                <c:pt idx="7">
                  <c:v>29</c:v>
                </c:pt>
                <c:pt idx="8">
                  <c:v>20</c:v>
                </c:pt>
                <c:pt idx="9">
                  <c:v>14.8</c:v>
                </c:pt>
                <c:pt idx="10">
                  <c:v>27.7</c:v>
                </c:pt>
                <c:pt idx="11">
                  <c:v>29.2</c:v>
                </c:pt>
                <c:pt idx="12">
                  <c:v>24.7</c:v>
                </c:pt>
                <c:pt idx="13">
                  <c:v>21.8</c:v>
                </c:pt>
                <c:pt idx="14">
                  <c:v>17.100000000000001</c:v>
                </c:pt>
                <c:pt idx="15">
                  <c:v>16.8</c:v>
                </c:pt>
                <c:pt idx="16">
                  <c:v>21.1</c:v>
                </c:pt>
                <c:pt idx="17">
                  <c:v>16.8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Boston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29.9</c:v>
                </c:pt>
                <c:pt idx="1">
                  <c:v>41.600000000000009</c:v>
                </c:pt>
                <c:pt idx="2">
                  <c:v>42.5</c:v>
                </c:pt>
                <c:pt idx="3">
                  <c:v>21.499999999999993</c:v>
                </c:pt>
                <c:pt idx="4">
                  <c:v>11.900000000000006</c:v>
                </c:pt>
                <c:pt idx="5">
                  <c:v>6.5</c:v>
                </c:pt>
                <c:pt idx="6">
                  <c:v>25.900000000000006</c:v>
                </c:pt>
                <c:pt idx="7">
                  <c:v>44.9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Boston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7.4354628691895925</c:v>
                </c:pt>
                <c:pt idx="1">
                  <c:v>27.421575168888531</c:v>
                </c:pt>
                <c:pt idx="2">
                  <c:v>4.9266156292633756</c:v>
                </c:pt>
                <c:pt idx="3">
                  <c:v>5.3253186026496504</c:v>
                </c:pt>
                <c:pt idx="4">
                  <c:v>0</c:v>
                </c:pt>
                <c:pt idx="5">
                  <c:v>0</c:v>
                </c:pt>
                <c:pt idx="6">
                  <c:v>0</c:v>
                </c:pt>
                <c:pt idx="7">
                  <c:v>9.201246514679351</c:v>
                </c:pt>
                <c:pt idx="8">
                  <c:v>0</c:v>
                </c:pt>
                <c:pt idx="9">
                  <c:v>0</c:v>
                </c:pt>
                <c:pt idx="10">
                  <c:v>0</c:v>
                </c:pt>
                <c:pt idx="11">
                  <c:v>10.948335644937588</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Boston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41.7</c:v>
                </c:pt>
                <c:pt idx="1">
                  <c:v>41.7</c:v>
                </c:pt>
                <c:pt idx="2">
                  <c:v>26.299999999999997</c:v>
                </c:pt>
                <c:pt idx="3">
                  <c:v>36.9</c:v>
                </c:pt>
                <c:pt idx="4">
                  <c:v>37.1</c:v>
                </c:pt>
                <c:pt idx="5">
                  <c:v>43.4</c:v>
                </c:pt>
                <c:pt idx="6">
                  <c:v>43.399999999999991</c:v>
                </c:pt>
                <c:pt idx="7">
                  <c:v>47.999999999999993</c:v>
                </c:pt>
                <c:pt idx="8">
                  <c:v>34.300000000000004</c:v>
                </c:pt>
                <c:pt idx="9">
                  <c:v>25.1</c:v>
                </c:pt>
                <c:pt idx="10">
                  <c:v>25.6</c:v>
                </c:pt>
                <c:pt idx="11">
                  <c:v>32.299999999999997</c:v>
                </c:pt>
                <c:pt idx="12">
                  <c:v>35.1</c:v>
                </c:pt>
                <c:pt idx="13">
                  <c:v>34.5</c:v>
                </c:pt>
                <c:pt idx="14">
                  <c:v>29.400000000000002</c:v>
                </c:pt>
                <c:pt idx="15">
                  <c:v>14.7</c:v>
                </c:pt>
                <c:pt idx="16">
                  <c:v>43.7</c:v>
                </c:pt>
                <c:pt idx="17">
                  <c:v>45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579120</xdr:colOff>
      <xdr:row>12</xdr:row>
      <xdr:rowOff>510540</xdr:rowOff>
    </xdr:from>
    <xdr:to>
      <xdr:col>1</xdr:col>
      <xdr:colOff>2560320</xdr:colOff>
      <xdr:row>14</xdr:row>
      <xdr:rowOff>15240</xdr:rowOff>
    </xdr:to>
    <xdr:sp macro="" textlink="">
      <xdr:nvSpPr>
        <xdr:cNvPr id="11" name="TextBox 10">
          <a:extLst>
            <a:ext uri="{FF2B5EF4-FFF2-40B4-BE49-F238E27FC236}">
              <a16:creationId xmlns:a16="http://schemas.microsoft.com/office/drawing/2014/main" id="{93996A17-16D6-3F4A-02F1-D1828CB6DEB3}"/>
            </a:ext>
          </a:extLst>
        </xdr:cNvPr>
        <xdr:cNvSpPr txBox="1"/>
      </xdr:nvSpPr>
      <xdr:spPr>
        <a:xfrm>
          <a:off x="57912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 hour worked for 'Rural as a Region' has been consistently lower than that seen for England from 2004 to 2019, with both increasing, but England increasing at a greater rate thus widening the gap.  GVA per hour worked for Boston has been from</a:t>
          </a:r>
          <a:r>
            <a:rPr lang="en-GB" sz="1100" baseline="0">
              <a:latin typeface="Avenir Next LT Pro" panose="020B0504020202020204" pitchFamily="34" charset="0"/>
            </a:rPr>
            <a:t> 2004 to 2019 consistently below the rural and England situations.</a:t>
          </a:r>
          <a:endParaRPr lang="en-GB" sz="1100">
            <a:latin typeface="Avenir Next LT Pro" panose="020B0504020202020204" pitchFamily="34" charset="0"/>
          </a:endParaRPr>
        </a:p>
      </xdr:txBody>
    </xdr:sp>
    <xdr:clientData/>
  </xdr:twoCellAnchor>
  <xdr:twoCellAnchor>
    <xdr:from>
      <xdr:col>0</xdr:col>
      <xdr:colOff>617220</xdr:colOff>
      <xdr:row>20</xdr:row>
      <xdr:rowOff>609600</xdr:rowOff>
    </xdr:from>
    <xdr:to>
      <xdr:col>1</xdr:col>
      <xdr:colOff>2598420</xdr:colOff>
      <xdr:row>22</xdr:row>
      <xdr:rowOff>121920</xdr:rowOff>
    </xdr:to>
    <xdr:sp macro="" textlink="">
      <xdr:nvSpPr>
        <xdr:cNvPr id="12" name="TextBox 11">
          <a:extLst>
            <a:ext uri="{FF2B5EF4-FFF2-40B4-BE49-F238E27FC236}">
              <a16:creationId xmlns:a16="http://schemas.microsoft.com/office/drawing/2014/main" id="{40C9AC96-C2E7-4510-AF5E-325C25EF3A1E}"/>
            </a:ext>
          </a:extLst>
        </xdr:cNvPr>
        <xdr:cNvSpPr txBox="1"/>
      </xdr:nvSpPr>
      <xdr:spPr>
        <a:xfrm>
          <a:off x="617220" y="7536180"/>
          <a:ext cx="6682740" cy="8077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 Region' has been consistently below that seen for England, with the gap neither increasing or decreasing between 2008 and 2020.  The pay in Boston has fluctuated a little over the years, but is consistently below the rural average situation.</a:t>
          </a:r>
        </a:p>
      </xdr:txBody>
    </xdr:sp>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Boston has in general been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Boston, it is below and dropping further behind both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Boston, it's proportion remained significantly higher than that seen for either 'Rural as a Region' or England overall.</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Boston's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Boston was below the rural and England situations from 2017 to 2019, but was above for all other years from 2014 to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general situation for Boston is unclear due to unavailable data for several years from 2006 to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Boston in general has a significantly lower proportion of employed people in skilled employment than seen for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310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Boston</v>
      </c>
      <c r="G12" s="88" t="str">
        <f>IFERROR(VLOOKUP(F12,GVA!B244:B552,1,FALSE),VLOOKUP(F12,GVA!B6:C230,2,FALSE))</f>
        <v>Boston</v>
      </c>
      <c r="H12" s="89" t="str">
        <f>IF(F12=G12,"",G12)</f>
        <v/>
      </c>
      <c r="I12" s="76">
        <f>IFERROR(VLOOKUP($F12,GVA!$B$7:$S$230,GVA!D$3,FALSE),VLOOKUP($F12,GVA!$B$244:$T$554,GVA!E$3,FALSE))</f>
        <v>19.649999999999999</v>
      </c>
      <c r="J12" s="77">
        <f>IFERROR(VLOOKUP($F12,GVA!$B$7:$S$230,GVA!E$3,FALSE),VLOOKUP($F12,GVA!$B$244:$T$554,GVA!F$3,FALSE))</f>
        <v>19.91</v>
      </c>
      <c r="K12" s="77">
        <f>IFERROR(VLOOKUP($F12,GVA!$B$7:$S$230,GVA!F$3,FALSE),VLOOKUP($F12,GVA!$B$244:$T$554,GVA!G$3,FALSE))</f>
        <v>19.420000000000002</v>
      </c>
      <c r="L12" s="77">
        <f>IFERROR(VLOOKUP($F12,GVA!$B$7:$S$230,GVA!G$3,FALSE),VLOOKUP($F12,GVA!$B$244:$T$554,GVA!H$3,FALSE))</f>
        <v>19.66</v>
      </c>
      <c r="M12" s="77">
        <f>IFERROR(VLOOKUP($F12,GVA!$B$7:$S$230,GVA!H$3,FALSE),VLOOKUP($F12,GVA!$B$244:$T$554,GVA!I$3,FALSE))</f>
        <v>20.18</v>
      </c>
      <c r="N12" s="77">
        <f>IFERROR(VLOOKUP($F12,GVA!$B$7:$S$230,GVA!I$3,FALSE),VLOOKUP($F12,GVA!$B$244:$T$554,GVA!J$3,FALSE))</f>
        <v>20.18</v>
      </c>
      <c r="O12" s="77">
        <f>IFERROR(VLOOKUP($F12,GVA!$B$7:$S$230,GVA!J$3,FALSE),VLOOKUP($F12,GVA!$B$244:$T$554,GVA!K$3,FALSE))</f>
        <v>19.88</v>
      </c>
      <c r="P12" s="77">
        <f>IFERROR(VLOOKUP($F12,GVA!$B$7:$S$230,GVA!K$3,FALSE),VLOOKUP($F12,GVA!$B$244:$T$554,GVA!L$3,FALSE))</f>
        <v>19.71</v>
      </c>
      <c r="Q12" s="77">
        <f>IFERROR(VLOOKUP($F12,GVA!$B$7:$S$230,GVA!L$3,FALSE),VLOOKUP($F12,GVA!$B$244:$T$554,GVA!M$3,FALSE))</f>
        <v>20.260000000000002</v>
      </c>
      <c r="R12" s="77">
        <f>IFERROR(VLOOKUP($F12,GVA!$B$7:$S$230,GVA!M$3,FALSE),VLOOKUP($F12,GVA!$B$244:$T$554,GVA!N$3,FALSE))</f>
        <v>21.41</v>
      </c>
      <c r="S12" s="77">
        <f>IFERROR(VLOOKUP($F12,GVA!$B$7:$S$230,GVA!N$3,FALSE),VLOOKUP($F12,GVA!$B$244:$T$554,GVA!O$3,FALSE))</f>
        <v>22.7</v>
      </c>
      <c r="T12" s="77">
        <f>IFERROR(VLOOKUP($F12,GVA!$B$7:$S$230,GVA!O$3,FALSE),VLOOKUP($F12,GVA!$B$244:$T$554,GVA!P$3,FALSE))</f>
        <v>23.44</v>
      </c>
      <c r="U12" s="77">
        <f>IFERROR(VLOOKUP($F12,GVA!$B$7:$S$230,GVA!P$3,FALSE),VLOOKUP($F12,GVA!$B$244:$T$554,GVA!Q$3,FALSE))</f>
        <v>23.76</v>
      </c>
      <c r="V12" s="77">
        <f>IFERROR(VLOOKUP($F12,GVA!$B$7:$S$230,GVA!Q$3,FALSE),VLOOKUP($F12,GVA!$B$244:$T$554,GVA!R$3,FALSE))</f>
        <v>24.32</v>
      </c>
      <c r="W12" s="77">
        <f>IFERROR(VLOOKUP($F12,GVA!$B$7:$S$230,GVA!R$3,FALSE),VLOOKUP($F12,GVA!$B$244:$T$554,GVA!S$3,FALSE))</f>
        <v>25.13</v>
      </c>
      <c r="X12" s="77">
        <f>IFERROR(VLOOKUP($F12,GVA!$B$7:$S$230,GVA!S$3,FALSE),VLOOKUP($F12,GVA!$B$244:$T$554,GVA!T$3,FALSE))</f>
        <v>25.91</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Boston to Rural as a Region</v>
      </c>
      <c r="G15" s="122"/>
      <c r="H15" s="123"/>
      <c r="I15" s="74">
        <f>100*((I12-I13)/I13)</f>
        <v>-16.525485872648989</v>
      </c>
      <c r="J15" s="74">
        <f t="shared" ref="J15:X15" si="0">100*((J12-J13)/J13)</f>
        <v>-15.185508245937887</v>
      </c>
      <c r="K15" s="74">
        <f t="shared" si="0"/>
        <v>-20.095222700621633</v>
      </c>
      <c r="L15" s="74">
        <f t="shared" si="0"/>
        <v>-20.848910105251068</v>
      </c>
      <c r="M15" s="74">
        <f t="shared" si="0"/>
        <v>-20.125528335760016</v>
      </c>
      <c r="N15" s="74">
        <f t="shared" si="0"/>
        <v>-20.778049361829414</v>
      </c>
      <c r="O15" s="74">
        <f t="shared" si="0"/>
        <v>-22.916214681702556</v>
      </c>
      <c r="P15" s="74">
        <f t="shared" si="0"/>
        <v>-24.698112950101635</v>
      </c>
      <c r="Q15" s="74">
        <f t="shared" si="0"/>
        <v>-24.150287471587113</v>
      </c>
      <c r="R15" s="74">
        <f t="shared" si="0"/>
        <v>-21.211245022145732</v>
      </c>
      <c r="S15" s="74">
        <f t="shared" si="0"/>
        <v>-17.826991945597261</v>
      </c>
      <c r="T15" s="74">
        <f t="shared" si="0"/>
        <v>-16.726159259697841</v>
      </c>
      <c r="U15" s="74">
        <f t="shared" si="0"/>
        <v>-17.605921620271534</v>
      </c>
      <c r="V15" s="74">
        <f t="shared" si="0"/>
        <v>-17.895625263750166</v>
      </c>
      <c r="W15" s="74">
        <f t="shared" si="0"/>
        <v>-16.88276915686555</v>
      </c>
      <c r="X15" s="74">
        <f t="shared" si="0"/>
        <v>-15.191851335185552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Boston</v>
      </c>
      <c r="G20" s="88"/>
      <c r="H20" s="89"/>
      <c r="I20" s="80">
        <f>IF(VLOOKUP($F20,PAY!$A$11:$AE$349,4,FALSE)="-",#N/A,VLOOKUP($F20,PAY!$A$11:$AE$349,4,FALSE))</f>
        <v>370.2</v>
      </c>
      <c r="J20" s="80">
        <f>IF(VLOOKUP($F20,PAY!$A$11:$AE$349,6,FALSE)="-",#N/A,VLOOKUP($F20,PAY!$A$11:$AE$349,6,FALSE))</f>
        <v>414.9</v>
      </c>
      <c r="K20" s="80">
        <f>IF(VLOOKUP($F20,PAY!$A$11:$AE$349,8,FALSE)="-",#N/A,VLOOKUP($F20,PAY!$A$11:$AE$349,8,FALSE))</f>
        <v>407</v>
      </c>
      <c r="L20" s="80">
        <f>IF(VLOOKUP($F20,PAY!$A$11:$AE$349,10,FALSE)="-",#N/A,VLOOKUP($F20,PAY!$A$11:$AE$349,10,FALSE))</f>
        <v>407.7</v>
      </c>
      <c r="M20" s="80">
        <f>IF(VLOOKUP($F20,PAY!$A$11:$AE$349,12,FALSE)="-",#N/A,VLOOKUP($F20,PAY!$A$11:$AE$349,12,FALSE))</f>
        <v>405.8</v>
      </c>
      <c r="N20" s="80">
        <f>IF(VLOOKUP($F20,PAY!$A$11:$AE$349,14,FALSE)="-",#N/A,VLOOKUP($F20,PAY!$A$11:$AE$349,14,FALSE))</f>
        <v>415.9</v>
      </c>
      <c r="O20" s="80">
        <f>IF(VLOOKUP($F20,PAY!$A$11:$AE$349,16,FALSE)="-",#N/A,VLOOKUP($F20,PAY!$A$11:$AE$349,16,FALSE))</f>
        <v>436.3</v>
      </c>
      <c r="P20" s="80">
        <f>IF(VLOOKUP($F20,PAY!$A$11:$AE$349,18,FALSE)="-",#N/A,VLOOKUP($F20,PAY!$A$11:$AE$349,18,FALSE))</f>
        <v>416.2</v>
      </c>
      <c r="Q20" s="80">
        <f>IF(VLOOKUP($F20,PAY!$A$11:$AE$349,20,FALSE)="-",#N/A,VLOOKUP($F20,PAY!$A$11:$AE$349,20,FALSE))</f>
        <v>428.4</v>
      </c>
      <c r="R20" s="80">
        <f>IF(VLOOKUP($F20,PAY!$A$11:$AE$349,22,FALSE)="-",#N/A,VLOOKUP($F20,PAY!$A$11:$AE$349,22,FALSE))</f>
        <v>439.9</v>
      </c>
      <c r="S20" s="80">
        <f>IF(VLOOKUP($F20,PAY!$A$11:$AE$349,24,FALSE)="-",#N/A,VLOOKUP($F20,PAY!$A$11:$AE$349,24,FALSE))</f>
        <v>439.2</v>
      </c>
      <c r="T20" s="80">
        <f>IF(VLOOKUP($F20,PAY!$A$11:$AE$349,26,FALSE)="-",#N/A,VLOOKUP($F20,PAY!$A$11:$AE$349,26,FALSE))</f>
        <v>490.5</v>
      </c>
      <c r="U20" s="80">
        <f>IF(VLOOKUP($F20,PAY!$A$11:$AE$349,28,FALSE)="-",#N/A,VLOOKUP($F20,PAY!$A$11:$AE$349,28,FALSE))</f>
        <v>460.3</v>
      </c>
      <c r="V20" s="80">
        <f>IF(VLOOKUP($F20,PAY!$A$11:$AE$349,30,FALSE)="-",#N/A,VLOOKUP($F20,PAY!$A$11:$AE$349,30,FALSE))</f>
        <v>503.1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Boston to Rural as a Region</v>
      </c>
      <c r="G23" s="122"/>
      <c r="H23" s="123"/>
      <c r="I23" s="74">
        <f>100*((I20-I21)/I21)</f>
        <v>-14.501964544646617</v>
      </c>
      <c r="J23" s="74">
        <f t="shared" ref="J23:V23" si="2">100*((J20-J21)/J21)</f>
        <v>-5.0409109114836719</v>
      </c>
      <c r="K23" s="74">
        <f t="shared" si="2"/>
        <v>-9.1746255038713933</v>
      </c>
      <c r="L23" s="74">
        <f t="shared" si="2"/>
        <v>-9.5313131994067533</v>
      </c>
      <c r="M23" s="74">
        <f t="shared" si="2"/>
        <v>-10.860800462682343</v>
      </c>
      <c r="N23" s="74">
        <f t="shared" si="2"/>
        <v>-10.206173170158459</v>
      </c>
      <c r="O23" s="74">
        <f t="shared" si="2"/>
        <v>-7.3284507466378406</v>
      </c>
      <c r="P23" s="74">
        <f t="shared" si="2"/>
        <v>-12.346011426012177</v>
      </c>
      <c r="Q23" s="74">
        <f t="shared" si="2"/>
        <v>-12.478956065695881</v>
      </c>
      <c r="R23" s="74">
        <f t="shared" si="2"/>
        <v>-12.72811742695343</v>
      </c>
      <c r="S23" s="74">
        <f t="shared" si="2"/>
        <v>-14.623224102657705</v>
      </c>
      <c r="T23" s="74">
        <f t="shared" si="2"/>
        <v>-8.0942300700189733</v>
      </c>
      <c r="U23" s="74">
        <f t="shared" si="2"/>
        <v>-13.322367674750968</v>
      </c>
      <c r="V23" s="74">
        <f t="shared" si="2"/>
        <v>-10.838061114895259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Boston</v>
      </c>
      <c r="G28" s="88"/>
      <c r="H28" s="89"/>
      <c r="I28" s="76">
        <f>VLOOKUP($F28,EMPLOYMENT!$A$6:$BW$345,6,FALSE)</f>
        <v>73.599999999999994</v>
      </c>
      <c r="J28" s="77">
        <f>VLOOKUP($F28,EMPLOYMENT!$A$6:$BW$345,10,FALSE)</f>
        <v>73.599999999999994</v>
      </c>
      <c r="K28" s="77">
        <f>VLOOKUP($F28,EMPLOYMENT!$A$6:$BW$345,14,FALSE)</f>
        <v>77.599999999999994</v>
      </c>
      <c r="L28" s="77">
        <f>VLOOKUP($F28,EMPLOYMENT!$A$6:$BW$345,18,FALSE)</f>
        <v>72.2</v>
      </c>
      <c r="M28" s="77">
        <f>VLOOKUP($F28,EMPLOYMENT!$A$6:$BW$345,22,FALSE)</f>
        <v>79.400000000000006</v>
      </c>
      <c r="N28" s="77">
        <f>VLOOKUP($F28,EMPLOYMENT!$A$6:$BW$345,26,FALSE)</f>
        <v>75.7</v>
      </c>
      <c r="O28" s="77">
        <f>VLOOKUP($F28,EMPLOYMENT!$A$6:$BW$345,30,FALSE)</f>
        <v>67.599999999999994</v>
      </c>
      <c r="P28" s="77">
        <f>VLOOKUP($F28,EMPLOYMENT!$A$6:$BW$345,34,FALSE)</f>
        <v>63.7</v>
      </c>
      <c r="Q28" s="77">
        <f>VLOOKUP($F28,EMPLOYMENT!$A$6:$BW$345,38,FALSE)</f>
        <v>75.400000000000006</v>
      </c>
      <c r="R28" s="77">
        <f>VLOOKUP($F28,EMPLOYMENT!$A$6:$BW$345,42,FALSE)</f>
        <v>82</v>
      </c>
      <c r="S28" s="77">
        <f>VLOOKUP($F28,EMPLOYMENT!$A$6:$BW$345,46,FALSE)</f>
        <v>67.7</v>
      </c>
      <c r="T28" s="77">
        <f>VLOOKUP($F28,EMPLOYMENT!$A$6:$BW$345,50,FALSE)</f>
        <v>68.8</v>
      </c>
      <c r="U28" s="77">
        <f>VLOOKUP($F28,EMPLOYMENT!$A$6:$BW$345,54,FALSE)</f>
        <v>73.2</v>
      </c>
      <c r="V28" s="77">
        <f>VLOOKUP($F28,EMPLOYMENT!$A$6:$BW$345,58,FALSE)</f>
        <v>74.400000000000006</v>
      </c>
      <c r="W28" s="77">
        <f>VLOOKUP($F28,EMPLOYMENT!$A$6:$BW$345,62,FALSE)</f>
        <v>80.099999999999994</v>
      </c>
      <c r="X28" s="77">
        <f>VLOOKUP($F28,EMPLOYMENT!$A$6:$BW$345,66,FALSE)</f>
        <v>78.400000000000006</v>
      </c>
      <c r="Y28" s="77">
        <f>VLOOKUP($F28,EMPLOYMENT!$A$6:$BW$345,70,FALSE)</f>
        <v>75</v>
      </c>
      <c r="Z28" s="77">
        <f>VLOOKUP($F28,EMPLOYMENT!$A$6:$BW$345,74,FALSE)</f>
        <v>73.099999999999994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Boston to Rural as a Region</v>
      </c>
      <c r="G31" s="122"/>
      <c r="H31" s="123"/>
      <c r="I31" s="74">
        <f>(I28-I29)</f>
        <v>-2.5113419194017439</v>
      </c>
      <c r="J31" s="74">
        <f t="shared" ref="J31:Z31" si="4">(J28-J29)</f>
        <v>-2.7129754666829626</v>
      </c>
      <c r="K31" s="74">
        <f t="shared" si="4"/>
        <v>1.7268111005132312</v>
      </c>
      <c r="L31" s="74">
        <f t="shared" si="4"/>
        <v>-3.4404683026278349</v>
      </c>
      <c r="M31" s="74">
        <f t="shared" si="4"/>
        <v>3.6644756266682634</v>
      </c>
      <c r="N31" s="74">
        <f t="shared" si="4"/>
        <v>1.1904601571268216</v>
      </c>
      <c r="O31" s="74">
        <f t="shared" si="4"/>
        <v>-5.9471331389698747</v>
      </c>
      <c r="P31" s="74">
        <f t="shared" si="4"/>
        <v>-10.034295403277611</v>
      </c>
      <c r="Q31" s="74">
        <f t="shared" si="4"/>
        <v>1.3668425245374323</v>
      </c>
      <c r="R31" s="74">
        <f t="shared" si="4"/>
        <v>7.2555250700997931</v>
      </c>
      <c r="S31" s="74">
        <f t="shared" si="4"/>
        <v>-8.4088603400756057</v>
      </c>
      <c r="T31" s="74">
        <f t="shared" si="4"/>
        <v>-8.3905319756090222</v>
      </c>
      <c r="U31" s="74">
        <f t="shared" si="4"/>
        <v>-3.7716324817080391</v>
      </c>
      <c r="V31" s="74">
        <f t="shared" si="4"/>
        <v>-3.632786885245892</v>
      </c>
      <c r="W31" s="74">
        <f t="shared" si="4"/>
        <v>2.0518431065858493</v>
      </c>
      <c r="X31" s="74">
        <f t="shared" si="4"/>
        <v>-0.19129937895669968</v>
      </c>
      <c r="Y31" s="74">
        <f t="shared" si="4"/>
        <v>-2.0143462961292045</v>
      </c>
      <c r="Z31" s="74">
        <f t="shared" si="4"/>
        <v>-3.0557580778790481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Boston</v>
      </c>
      <c r="G36" s="88" t="str">
        <f>IFERROR(VLOOKUP(F36,GDHI!B338:C574,2,FALSE),VLOOKUP(F36,GDHI!C3:C336,1,FALSE))</f>
        <v>Boston</v>
      </c>
      <c r="H36" s="89" t="str">
        <f>IF(F36=G36,"",G36)</f>
        <v/>
      </c>
      <c r="I36" s="83">
        <f>IFERROR(VLOOKUP($F36,GDHI!$B$338:$U$574,GDHI!G$578,FALSE),VLOOKUP($F36,GDHI!$C$3:$U$336,GDHI!F$578,FALSE))</f>
        <v>12263</v>
      </c>
      <c r="J36" s="84">
        <f>IFERROR(VLOOKUP($F36,GDHI!$B$338:$U$574,GDHI!H$578,FALSE),VLOOKUP($F36,GDHI!$C$3:$U$336,GDHI!G$578,FALSE))</f>
        <v>12722</v>
      </c>
      <c r="K36" s="84">
        <f>IFERROR(VLOOKUP($F36,GDHI!$B$338:$U$574,GDHI!I$578,FALSE),VLOOKUP($F36,GDHI!$C$3:$U$336,GDHI!H$578,FALSE))</f>
        <v>12865</v>
      </c>
      <c r="L36" s="84">
        <f>IFERROR(VLOOKUP($F36,GDHI!$B$338:$U$574,GDHI!J$578,FALSE),VLOOKUP($F36,GDHI!$C$3:$U$336,GDHI!I$578,FALSE))</f>
        <v>13472</v>
      </c>
      <c r="M36" s="84">
        <f>IFERROR(VLOOKUP($F36,GDHI!$B$338:$U$574,GDHI!K$578,FALSE),VLOOKUP($F36,GDHI!$C$3:$U$336,GDHI!J$578,FALSE))</f>
        <v>13631</v>
      </c>
      <c r="N36" s="84">
        <f>IFERROR(VLOOKUP($F36,GDHI!$B$338:$U$574,GDHI!L$578,FALSE),VLOOKUP($F36,GDHI!$C$3:$U$336,GDHI!K$578,FALSE))</f>
        <v>14052</v>
      </c>
      <c r="O36" s="84">
        <f>IFERROR(VLOOKUP($F36,GDHI!$B$338:$U$574,GDHI!M$578,FALSE),VLOOKUP($F36,GDHI!$C$3:$U$336,GDHI!L$578,FALSE))</f>
        <v>14214</v>
      </c>
      <c r="P36" s="84">
        <f>IFERROR(VLOOKUP($F36,GDHI!$B$338:$U$574,GDHI!N$578,FALSE),VLOOKUP($F36,GDHI!$C$3:$U$336,GDHI!M$578,FALSE))</f>
        <v>14727</v>
      </c>
      <c r="Q36" s="84">
        <f>IFERROR(VLOOKUP($F36,GDHI!$B$338:$U$574,GDHI!O$578,FALSE),VLOOKUP($F36,GDHI!$C$3:$U$336,GDHI!N$578,FALSE))</f>
        <v>15276</v>
      </c>
      <c r="R36" s="84">
        <f>IFERROR(VLOOKUP($F36,GDHI!$B$338:$U$574,GDHI!P$578,FALSE),VLOOKUP($F36,GDHI!$C$3:$U$336,GDHI!O$578,FALSE))</f>
        <v>15449</v>
      </c>
      <c r="S36" s="84">
        <f>IFERROR(VLOOKUP($F36,GDHI!$B$338:$U$574,GDHI!Q$578,FALSE),VLOOKUP($F36,GDHI!$C$3:$U$336,GDHI!P$578,FALSE))</f>
        <v>15760</v>
      </c>
      <c r="T36" s="84">
        <f>IFERROR(VLOOKUP($F36,GDHI!$B$338:$U$574,GDHI!R$578,FALSE),VLOOKUP($F36,GDHI!$C$3:$U$336,GDHI!Q$578,FALSE))</f>
        <v>16324</v>
      </c>
      <c r="U36" s="84">
        <f>IFERROR(VLOOKUP($F36,GDHI!$B$338:$U$574,GDHI!S$578,FALSE),VLOOKUP($F36,GDHI!$C$3:$U$336,GDHI!R$578,FALSE))</f>
        <v>16308</v>
      </c>
      <c r="V36" s="84">
        <f>IFERROR(VLOOKUP($F36,GDHI!$B$338:$U$574,GDHI!T$578,FALSE),VLOOKUP($F36,GDHI!$C$3:$U$336,GDHI!S$578,FALSE))</f>
        <v>16778</v>
      </c>
      <c r="W36" s="84">
        <f>IFERROR(VLOOKUP($F36,GDHI!$B$338:$U$574,GDHI!U$578,FALSE),VLOOKUP($F36,GDHI!$C$3:$U$336,GDHI!T$578,FALSE))</f>
        <v>17611</v>
      </c>
      <c r="X36" s="84">
        <f>IFERROR(VLOOKUP($F36,GDHI!$B$338:$U$574,GDHI!V$578,FALSE),VLOOKUP($F36,GDHI!$C$3:$U$336,GDHI!U$578,FALSE))</f>
        <v>17826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Boston to Rural as a Region</v>
      </c>
      <c r="G39" s="122"/>
      <c r="H39" s="123"/>
      <c r="I39" s="74">
        <f>100*((I36-I37)/I37)</f>
        <v>-16.632108501308679</v>
      </c>
      <c r="J39" s="74">
        <f t="shared" ref="J39:X39" si="6">100*((J36-J37)/J37)</f>
        <v>-17.074279825651193</v>
      </c>
      <c r="K39" s="74">
        <f t="shared" si="6"/>
        <v>-19.210903455437258</v>
      </c>
      <c r="L39" s="74">
        <f t="shared" si="6"/>
        <v>-18.687501212522289</v>
      </c>
      <c r="M39" s="74">
        <f t="shared" si="6"/>
        <v>-20.115424087941093</v>
      </c>
      <c r="N39" s="74">
        <f t="shared" si="6"/>
        <v>-18.741295809941455</v>
      </c>
      <c r="O39" s="74">
        <f t="shared" si="6"/>
        <v>-18.813869915990391</v>
      </c>
      <c r="P39" s="74">
        <f t="shared" si="6"/>
        <v>-17.264266280721557</v>
      </c>
      <c r="Q39" s="74">
        <f t="shared" si="6"/>
        <v>-16.82618452216591</v>
      </c>
      <c r="R39" s="74">
        <f t="shared" si="6"/>
        <v>-18.146398631017448</v>
      </c>
      <c r="S39" s="74">
        <f t="shared" si="6"/>
        <v>-18.746282837619617</v>
      </c>
      <c r="T39" s="74">
        <f t="shared" si="6"/>
        <v>-20.208646833113949</v>
      </c>
      <c r="U39" s="74">
        <f t="shared" si="6"/>
        <v>-20.930543979423863</v>
      </c>
      <c r="V39" s="74">
        <f t="shared" si="6"/>
        <v>-19.973244010423024</v>
      </c>
      <c r="W39" s="74">
        <f t="shared" si="6"/>
        <v>-19.370497264429744</v>
      </c>
      <c r="X39" s="74">
        <f t="shared" si="6"/>
        <v>-19.937591931864425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Boston</v>
      </c>
      <c r="G44" s="88"/>
      <c r="H44" s="89"/>
      <c r="I44" s="76">
        <f>VLOOKUP($F44,'LOW PAID'!$A$9:$N$444,6,FALSE)</f>
        <v>39.799999999999997</v>
      </c>
      <c r="J44" s="77">
        <f>VLOOKUP($F44,'LOW PAID'!$P$9:$W$444,6,FALSE)</f>
        <v>38.299999999999997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Boston to Rural as a Region</v>
      </c>
      <c r="G47" s="122"/>
      <c r="H47" s="123"/>
      <c r="I47" s="74">
        <f>(I44-I45)</f>
        <v>14.60612532178688</v>
      </c>
      <c r="J47" s="74">
        <f>(J44-J45)</f>
        <v>12.613883490969943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Boston</v>
      </c>
      <c r="G52" s="88"/>
      <c r="H52" s="89"/>
      <c r="I52" s="76">
        <f>VLOOKUP($F52,INACTIVITY!$A$6:$BW$345,6,FALSE)</f>
        <v>23</v>
      </c>
      <c r="J52" s="77">
        <f>VLOOKUP($F52,INACTIVITY!$A$6:$BW$345,10,FALSE)</f>
        <v>21.7</v>
      </c>
      <c r="K52" s="77">
        <f>VLOOKUP($F52,INACTIVITY!$A$6:$BW$345,14,FALSE)</f>
        <v>16.8</v>
      </c>
      <c r="L52" s="77">
        <f>VLOOKUP($F52,INACTIVITY!$A$6:$BW$345,18,FALSE)</f>
        <v>20.8</v>
      </c>
      <c r="M52" s="77">
        <f>VLOOKUP($F52,INACTIVITY!$A$6:$BW$345,22,FALSE)</f>
        <v>18.399999999999999</v>
      </c>
      <c r="N52" s="77">
        <f>VLOOKUP($F52,INACTIVITY!$A$6:$BW$345,26,FALSE)</f>
        <v>18.899999999999999</v>
      </c>
      <c r="O52" s="77">
        <f>VLOOKUP($F52,INACTIVITY!$A$6:$BW$345,30,FALSE)</f>
        <v>28.5</v>
      </c>
      <c r="P52" s="77">
        <f>VLOOKUP($F52,INACTIVITY!$A$6:$BW$345,34,FALSE)</f>
        <v>29</v>
      </c>
      <c r="Q52" s="77">
        <f>VLOOKUP($F52,INACTIVITY!$A$6:$BW$345,38,FALSE)</f>
        <v>20</v>
      </c>
      <c r="R52" s="77">
        <f>VLOOKUP($F52,INACTIVITY!$A$6:$BW$345,42,FALSE)</f>
        <v>14.8</v>
      </c>
      <c r="S52" s="77">
        <f>VLOOKUP($F52,INACTIVITY!$A$6:$BW$345,46,FALSE)</f>
        <v>27.7</v>
      </c>
      <c r="T52" s="77">
        <f>VLOOKUP($F52,INACTIVITY!$A$6:$BW$345,50,FALSE)</f>
        <v>29.2</v>
      </c>
      <c r="U52" s="77">
        <f>VLOOKUP($F52,INACTIVITY!$A$6:$BW$345,54,FALSE)</f>
        <v>24.7</v>
      </c>
      <c r="V52" s="77">
        <f>VLOOKUP($F52,INACTIVITY!$A$6:$BW$345,58,FALSE)</f>
        <v>21.8</v>
      </c>
      <c r="W52" s="77">
        <f>VLOOKUP($F52,INACTIVITY!$A$6:$BW$345,62,FALSE)</f>
        <v>17.100000000000001</v>
      </c>
      <c r="X52" s="77">
        <f>VLOOKUP($F52,INACTIVITY!$A$6:$BW$345,66,FALSE)</f>
        <v>16.8</v>
      </c>
      <c r="Y52" s="77">
        <f>VLOOKUP($F52,INACTIVITY!$A$6:$BW$345,70,FALSE)</f>
        <v>21.1</v>
      </c>
      <c r="Z52" s="77">
        <f>VLOOKUP($F52,INACTIVITY!$A$6:$BW$345,74,FALSE)</f>
        <v>16.8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Boston to Rural as a Region</v>
      </c>
      <c r="G55" s="122"/>
      <c r="H55" s="123"/>
      <c r="I55" s="74">
        <f>(I52-I53)</f>
        <v>1.6043554283897627</v>
      </c>
      <c r="J55" s="74">
        <f t="shared" ref="J55:Z55" si="10">(J52-J53)</f>
        <v>0.69147727272727266</v>
      </c>
      <c r="K55" s="74">
        <f t="shared" si="10"/>
        <v>-4.0624653934587762</v>
      </c>
      <c r="L55" s="74">
        <f t="shared" si="10"/>
        <v>-0.51406533153663858</v>
      </c>
      <c r="M55" s="74">
        <f t="shared" si="10"/>
        <v>-2.4350023108920062</v>
      </c>
      <c r="N55" s="74">
        <f t="shared" si="10"/>
        <v>-2.0331437579204419</v>
      </c>
      <c r="O55" s="74">
        <f t="shared" si="10"/>
        <v>6.8080628724948262</v>
      </c>
      <c r="P55" s="74">
        <f t="shared" si="10"/>
        <v>7.5057542192465512</v>
      </c>
      <c r="Q55" s="74">
        <f t="shared" si="10"/>
        <v>-1.1825487944890938</v>
      </c>
      <c r="R55" s="74">
        <f t="shared" si="10"/>
        <v>-5.9745930974387704</v>
      </c>
      <c r="S55" s="74">
        <f t="shared" si="10"/>
        <v>7.4267895440275993</v>
      </c>
      <c r="T55" s="74">
        <f t="shared" si="10"/>
        <v>9.5038053165930414</v>
      </c>
      <c r="U55" s="74">
        <f t="shared" si="10"/>
        <v>4.8475706529305285</v>
      </c>
      <c r="V55" s="74">
        <f t="shared" si="10"/>
        <v>2.5467226657196242</v>
      </c>
      <c r="W55" s="74">
        <f t="shared" si="10"/>
        <v>-2.0769560091828474</v>
      </c>
      <c r="X55" s="74">
        <f t="shared" si="10"/>
        <v>-2.0520649493649294</v>
      </c>
      <c r="Y55" s="74">
        <f t="shared" si="10"/>
        <v>1.3274172781285394</v>
      </c>
      <c r="Z55" s="74">
        <f t="shared" si="10"/>
        <v>-4.2851797756300698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Boston</v>
      </c>
      <c r="G60" s="88"/>
      <c r="H60" s="89"/>
      <c r="I60" s="76">
        <f>VLOOKUP($F60,DISABILITY!$A$718:$I$1052,DISABILITY!B$1053,FALSE)</f>
        <v>29.9</v>
      </c>
      <c r="J60" s="77">
        <f>VLOOKUP($F60,DISABILITY!$A$718:$I$1052,DISABILITY!C$1053,FALSE)</f>
        <v>41.600000000000009</v>
      </c>
      <c r="K60" s="77">
        <f>VLOOKUP($F60,DISABILITY!$A$718:$I$1052,DISABILITY!D$1053,FALSE)</f>
        <v>42.5</v>
      </c>
      <c r="L60" s="77">
        <f>VLOOKUP($F60,DISABILITY!$A$718:$I$1052,DISABILITY!E$1053,FALSE)</f>
        <v>21.499999999999993</v>
      </c>
      <c r="M60" s="77">
        <f>VLOOKUP($F60,DISABILITY!$A$718:$I$1052,DISABILITY!F$1053,FALSE)</f>
        <v>11.900000000000006</v>
      </c>
      <c r="N60" s="77">
        <f>VLOOKUP($F60,DISABILITY!$A$718:$I$1052,DISABILITY!G$1053,FALSE)</f>
        <v>6.5</v>
      </c>
      <c r="O60" s="77">
        <f>VLOOKUP($F60,DISABILITY!$A$718:$I$1052,DISABILITY!H$1053,FALSE)</f>
        <v>25.900000000000006</v>
      </c>
      <c r="P60" s="77">
        <f>VLOOKUP($F60,DISABILITY!$A$718:$I$1052,DISABILITY!I$1053,FALSE)</f>
        <v>44.9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Boston to Rural as a Region</v>
      </c>
      <c r="G63" s="122"/>
      <c r="H63" s="123"/>
      <c r="I63" s="74">
        <f>(I60-I61)</f>
        <v>2.4798434593527503</v>
      </c>
      <c r="J63" s="74">
        <f t="shared" ref="J63:P63" si="12">(J60-J61)</f>
        <v>14.280955592948821</v>
      </c>
      <c r="K63" s="74">
        <f t="shared" si="12"/>
        <v>14.380871638501795</v>
      </c>
      <c r="L63" s="74">
        <f t="shared" si="12"/>
        <v>-4.490934538996683</v>
      </c>
      <c r="M63" s="74">
        <f t="shared" si="12"/>
        <v>-13.575225818666112</v>
      </c>
      <c r="N63" s="74">
        <f t="shared" si="12"/>
        <v>-19.031247685441983</v>
      </c>
      <c r="O63" s="74">
        <f t="shared" si="12"/>
        <v>2.1027777120030606</v>
      </c>
      <c r="P63" s="74">
        <f t="shared" si="12"/>
        <v>19.545822069657824</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Boston</v>
      </c>
      <c r="G68" s="88"/>
      <c r="H68" s="89"/>
      <c r="I68" s="76">
        <f>VLOOKUP($F68,'WORKLESS HOUSEHOLDS'!$DW$4:$EC$397,7,FALSE)</f>
        <v>7.4354628691895925</v>
      </c>
      <c r="J68" s="77">
        <f>VLOOKUP($F68,'WORKLESS HOUSEHOLDS'!$DN$4:$DT$397,7,FALSE)</f>
        <v>27.421575168888531</v>
      </c>
      <c r="K68" s="77">
        <f>VLOOKUP($F68,'WORKLESS HOUSEHOLDS'!$DE$4:$DK$397,7,FALSE)</f>
        <v>4.9266156292633756</v>
      </c>
      <c r="L68" s="77">
        <f>VLOOKUP($F68,'WORKLESS HOUSEHOLDS'!$CV$4:$DB$397,7,FALSE)</f>
        <v>5.3253186026496504</v>
      </c>
      <c r="M68" s="77" t="str">
        <f>VLOOKUP($F68,'WORKLESS HOUSEHOLDS'!$CM$4:$CS$397,7,FALSE)</f>
        <v>*</v>
      </c>
      <c r="N68" s="77" t="str">
        <f>VLOOKUP($F68,'WORKLESS HOUSEHOLDS'!$CD$4:$CJ$397,7,FALSE)</f>
        <v>*</v>
      </c>
      <c r="O68" s="77" t="str">
        <f>VLOOKUP($F68,'WORKLESS HOUSEHOLDS'!$BU$4:$CA$397,7,FALSE)</f>
        <v>#</v>
      </c>
      <c r="P68" s="77">
        <f>VLOOKUP($F68,'WORKLESS HOUSEHOLDS'!$BL$4:$BR$397,7,FALSE)</f>
        <v>9.201246514679351</v>
      </c>
      <c r="Q68" s="77" t="str">
        <f>VLOOKUP($F68,'WORKLESS HOUSEHOLDS'!$BC$4:$BI$397,7,FALSE)</f>
        <v>#</v>
      </c>
      <c r="R68" s="77" t="str">
        <f>VLOOKUP($F68,'WORKLESS HOUSEHOLDS'!$AT$4:$AZ$397,7,FALSE)</f>
        <v>#</v>
      </c>
      <c r="S68" s="77" t="str">
        <f>VLOOKUP($F68,'WORKLESS HOUSEHOLDS'!$AK$4:$AQ$397,7,FALSE)</f>
        <v>#</v>
      </c>
      <c r="T68" s="77">
        <f>VLOOKUP($F68,'WORKLESS HOUSEHOLDS'!$AB$4:$AH$397,7,FALSE)</f>
        <v>10.948335644937588</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Boston to Rural as a Region</v>
      </c>
      <c r="G71" s="122"/>
      <c r="H71" s="123"/>
      <c r="I71" s="74">
        <f>(I68-I69)</f>
        <v>-2.5764829933970983</v>
      </c>
      <c r="J71" s="74">
        <f t="shared" ref="J71:W71" si="14">(J68-J69)</f>
        <v>16.510420331413506</v>
      </c>
      <c r="K71" s="74">
        <f t="shared" si="14"/>
        <v>-5.3666300998924683</v>
      </c>
      <c r="L71" s="74">
        <f t="shared" si="14"/>
        <v>-5.6406880586800821</v>
      </c>
      <c r="M71" s="74" t="e">
        <f t="shared" si="14"/>
        <v>#VALUE!</v>
      </c>
      <c r="N71" s="74" t="e">
        <f t="shared" si="14"/>
        <v>#VALUE!</v>
      </c>
      <c r="O71" s="74" t="e">
        <f t="shared" si="14"/>
        <v>#VALUE!</v>
      </c>
      <c r="P71" s="74">
        <f t="shared" si="14"/>
        <v>-0.49025137108848682</v>
      </c>
      <c r="Q71" s="74" t="e">
        <f t="shared" si="14"/>
        <v>#VALUE!</v>
      </c>
      <c r="R71" s="74" t="e">
        <f t="shared" si="14"/>
        <v>#VALUE!</v>
      </c>
      <c r="S71" s="74" t="e">
        <f t="shared" si="14"/>
        <v>#VALUE!</v>
      </c>
      <c r="T71" s="74">
        <f t="shared" si="14"/>
        <v>1.0446674503048374</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Boston</v>
      </c>
      <c r="G76" s="88"/>
      <c r="H76" s="89"/>
      <c r="I76" s="76">
        <f>VLOOKUP($F76,'SKILLED EMPLOYMENT'!$A$1506:$BW$1841,6,FALSE)</f>
        <v>41.7</v>
      </c>
      <c r="J76" s="77">
        <f>VLOOKUP($F76,'SKILLED EMPLOYMENT'!$A$1506:$BW$1841,10,FALSE)</f>
        <v>41.7</v>
      </c>
      <c r="K76" s="77">
        <f>VLOOKUP($F76,'SKILLED EMPLOYMENT'!$A$1506:$BW$1841,14,FALSE)</f>
        <v>26.299999999999997</v>
      </c>
      <c r="L76" s="77">
        <f>VLOOKUP($F76,'SKILLED EMPLOYMENT'!$A$1506:$BW$1841,18,FALSE)</f>
        <v>36.9</v>
      </c>
      <c r="M76" s="77">
        <f>VLOOKUP($F76,'SKILLED EMPLOYMENT'!$A$1506:$BW$1841,22,FALSE)</f>
        <v>37.1</v>
      </c>
      <c r="N76" s="77">
        <f>VLOOKUP($F76,'SKILLED EMPLOYMENT'!$A$1506:$BW$1841,26,FALSE)</f>
        <v>43.4</v>
      </c>
      <c r="O76" s="77">
        <f>VLOOKUP($F76,'SKILLED EMPLOYMENT'!$A$1506:$BW$1841,30,FALSE)</f>
        <v>43.399999999999991</v>
      </c>
      <c r="P76" s="77">
        <f>VLOOKUP($F76,'SKILLED EMPLOYMENT'!$A$1506:$BW$1841,34,FALSE)</f>
        <v>47.999999999999993</v>
      </c>
      <c r="Q76" s="77">
        <f>VLOOKUP($F76,'SKILLED EMPLOYMENT'!$A$1506:$BW$1841,38,FALSE)</f>
        <v>34.300000000000004</v>
      </c>
      <c r="R76" s="77">
        <f>VLOOKUP($F76,'SKILLED EMPLOYMENT'!$A$1506:$BW$1841,42,FALSE)</f>
        <v>25.1</v>
      </c>
      <c r="S76" s="77">
        <f>VLOOKUP($F76,'SKILLED EMPLOYMENT'!$A$1506:$BW$1841,46,FALSE)</f>
        <v>25.6</v>
      </c>
      <c r="T76" s="77">
        <f>VLOOKUP($F76,'SKILLED EMPLOYMENT'!$A$1506:$BW$1841,50,FALSE)</f>
        <v>32.299999999999997</v>
      </c>
      <c r="U76" s="77">
        <f>VLOOKUP($F76,'SKILLED EMPLOYMENT'!$A$1506:$BW$1841,54,FALSE)</f>
        <v>35.1</v>
      </c>
      <c r="V76" s="77">
        <f>VLOOKUP($F76,'SKILLED EMPLOYMENT'!$A$1506:$BW$1841,58,FALSE)</f>
        <v>34.5</v>
      </c>
      <c r="W76" s="77">
        <f>VLOOKUP($F76,'SKILLED EMPLOYMENT'!$A$1506:$BW$1841,62,FALSE)</f>
        <v>29.400000000000002</v>
      </c>
      <c r="X76" s="77">
        <f>VLOOKUP($F76,'SKILLED EMPLOYMENT'!$A$1506:$BW$1841,66,FALSE)</f>
        <v>14.7</v>
      </c>
      <c r="Y76" s="77">
        <f>VLOOKUP($F76,'SKILLED EMPLOYMENT'!$A$1506:$BW$1841,70,FALSE)</f>
        <v>43.7</v>
      </c>
      <c r="Z76" s="77">
        <f>VLOOKUP($F76,'SKILLED EMPLOYMENT'!$A$1506:$BW$1841,74,FALSE)</f>
        <v>45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Boston to Rural as a Region</v>
      </c>
      <c r="G79" s="122"/>
      <c r="H79" s="123"/>
      <c r="I79" s="74">
        <f>(I76-I77)</f>
        <v>-11</v>
      </c>
      <c r="J79" s="74">
        <f t="shared" ref="J79:Z79" si="17">(J76-J77)</f>
        <v>-11.199999999999996</v>
      </c>
      <c r="K79" s="74">
        <f t="shared" si="17"/>
        <v>-27.200000000000003</v>
      </c>
      <c r="L79" s="74">
        <f t="shared" si="17"/>
        <v>-17.100000000000001</v>
      </c>
      <c r="M79" s="74">
        <f t="shared" si="17"/>
        <v>-17</v>
      </c>
      <c r="N79" s="74">
        <f t="shared" si="17"/>
        <v>-11</v>
      </c>
      <c r="O79" s="74">
        <f t="shared" si="17"/>
        <v>-12.000000000000007</v>
      </c>
      <c r="P79" s="74">
        <f t="shared" si="17"/>
        <v>-7.6000000000000085</v>
      </c>
      <c r="Q79" s="74">
        <f t="shared" si="17"/>
        <v>-21.099999999999994</v>
      </c>
      <c r="R79" s="74">
        <f t="shared" si="17"/>
        <v>-31.1</v>
      </c>
      <c r="S79" s="74">
        <f t="shared" si="17"/>
        <v>-30.6</v>
      </c>
      <c r="T79" s="74">
        <f t="shared" si="17"/>
        <v>-24.5</v>
      </c>
      <c r="U79" s="74">
        <f t="shared" si="17"/>
        <v>-21.5</v>
      </c>
      <c r="V79" s="74">
        <f t="shared" si="17"/>
        <v>-22.6</v>
      </c>
      <c r="W79" s="74">
        <f t="shared" si="17"/>
        <v>-28.399999999999995</v>
      </c>
      <c r="X79" s="74">
        <f t="shared" si="17"/>
        <v>-44.099999999999994</v>
      </c>
      <c r="Y79" s="74">
        <f t="shared" si="17"/>
        <v>-15</v>
      </c>
      <c r="Z79" s="74">
        <f t="shared" si="17"/>
        <v>-13.399999999999999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QVp7UveOGj7Cy6o4Xx8H0tGroejjxOYRZJZQ0/vxRBscfJTYVN4BFuWDRxkxWziOZBRAb1GGlP0D4h9UmeJBFA==" saltValue="Aor/6gq/sqYjle8b8OKi8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2022-08-02T10:56:56Z</dcterms:modified>
</cp:coreProperties>
</file>