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8" documentId="8_{4AAB458C-5959-453E-A63F-5F346B863422}" xr6:coauthVersionLast="47" xr6:coauthVersionMax="47" xr10:uidLastSave="{D110F90B-FBEC-4C16-B9BB-C99716859DC8}"/>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<sst xmlns="http://schemas.openxmlformats.org/spreadsheetml/2006/main" count="32859" uniqueCount="1676">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</sst>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Braintree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22.62</c:v>
                </c:pt>
                <c:pt idx="1">
                  <c:v>22.44</c:v>
                </c:pt>
                <c:pt idx="2">
                  <c:v>23.78</c:v>
                </c:pt>
                <c:pt idx="3">
                  <c:v>24.59</c:v>
                </c:pt>
                <c:pt idx="4">
                  <c:v>25.79</c:v>
                </c:pt>
                <c:pt idx="5">
                  <c:v>26.68</c:v>
                </c:pt>
                <c:pt idx="6">
                  <c:v>27.52</c:v>
                </c:pt>
                <c:pt idx="7">
                  <c:v>27.56</c:v>
                </c:pt>
                <c:pt idx="8">
                  <c:v>27.45</c:v>
                </c:pt>
                <c:pt idx="9">
                  <c:v>27.45</c:v>
                </c:pt>
                <c:pt idx="10">
                  <c:v>28.14</c:v>
                </c:pt>
                <c:pt idx="11">
                  <c:v>29.89</c:v>
                </c:pt>
                <c:pt idx="12">
                  <c:v>32.19</c:v>
                </c:pt>
                <c:pt idx="13">
                  <c:v>34.479999999999997</c:v>
                </c:pt>
                <c:pt idx="14">
                  <c:v>35.74</c:v>
                </c:pt>
                <c:pt idx="15">
                  <c:v>36.229999999999997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Braintree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419.9</c:v>
                </c:pt>
                <c:pt idx="1">
                  <c:v>443.8</c:v>
                </c:pt>
                <c:pt idx="2">
                  <c:v>472.3</c:v>
                </c:pt>
                <c:pt idx="3">
                  <c:v>466.2</c:v>
                </c:pt>
                <c:pt idx="4">
                  <c:v>473.4</c:v>
                </c:pt>
                <c:pt idx="5">
                  <c:v>499.3</c:v>
                </c:pt>
                <c:pt idx="6">
                  <c:v>494.2</c:v>
                </c:pt>
                <c:pt idx="7">
                  <c:v>513.79999999999995</c:v>
                </c:pt>
                <c:pt idx="8">
                  <c:v>533</c:v>
                </c:pt>
                <c:pt idx="9">
                  <c:v>510.6</c:v>
                </c:pt>
                <c:pt idx="10">
                  <c:v>496.2</c:v>
                </c:pt>
                <c:pt idx="11">
                  <c:v>524.29999999999995</c:v>
                </c:pt>
                <c:pt idx="12">
                  <c:v>518.5</c:v>
                </c:pt>
                <c:pt idx="13">
                  <c:v>517.5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Braintree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76.099999999999994</c:v>
                </c:pt>
                <c:pt idx="1">
                  <c:v>80</c:v>
                </c:pt>
                <c:pt idx="2">
                  <c:v>79.3</c:v>
                </c:pt>
                <c:pt idx="3">
                  <c:v>75.900000000000006</c:v>
                </c:pt>
                <c:pt idx="4">
                  <c:v>70.599999999999994</c:v>
                </c:pt>
                <c:pt idx="5">
                  <c:v>75.900000000000006</c:v>
                </c:pt>
                <c:pt idx="6">
                  <c:v>78.5</c:v>
                </c:pt>
                <c:pt idx="7">
                  <c:v>76.900000000000006</c:v>
                </c:pt>
                <c:pt idx="8">
                  <c:v>72.8</c:v>
                </c:pt>
                <c:pt idx="9">
                  <c:v>73.8</c:v>
                </c:pt>
                <c:pt idx="10">
                  <c:v>74.900000000000006</c:v>
                </c:pt>
                <c:pt idx="11">
                  <c:v>79.7</c:v>
                </c:pt>
                <c:pt idx="12">
                  <c:v>76.099999999999994</c:v>
                </c:pt>
                <c:pt idx="13">
                  <c:v>85.1</c:v>
                </c:pt>
                <c:pt idx="14">
                  <c:v>82.8</c:v>
                </c:pt>
                <c:pt idx="15">
                  <c:v>76.8</c:v>
                </c:pt>
                <c:pt idx="16">
                  <c:v>86</c:v>
                </c:pt>
                <c:pt idx="17">
                  <c:v>86.2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Braintree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14253</c:v>
                </c:pt>
                <c:pt idx="1">
                  <c:v>14772</c:v>
                </c:pt>
                <c:pt idx="2">
                  <c:v>15062</c:v>
                </c:pt>
                <c:pt idx="3">
                  <c:v>15624</c:v>
                </c:pt>
                <c:pt idx="4">
                  <c:v>16246</c:v>
                </c:pt>
                <c:pt idx="5">
                  <c:v>16718</c:v>
                </c:pt>
                <c:pt idx="6">
                  <c:v>16755</c:v>
                </c:pt>
                <c:pt idx="7">
                  <c:v>17043</c:v>
                </c:pt>
                <c:pt idx="8">
                  <c:v>17660</c:v>
                </c:pt>
                <c:pt idx="9">
                  <c:v>18285</c:v>
                </c:pt>
                <c:pt idx="10">
                  <c:v>18734</c:v>
                </c:pt>
                <c:pt idx="11">
                  <c:v>19790</c:v>
                </c:pt>
                <c:pt idx="12">
                  <c:v>20291</c:v>
                </c:pt>
                <c:pt idx="13">
                  <c:v>20663</c:v>
                </c:pt>
                <c:pt idx="14">
                  <c:v>21655</c:v>
                </c:pt>
                <c:pt idx="15">
                  <c:v>22179</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Braintree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29.8</c:v>
                </c:pt>
                <c:pt idx="1">
                  <c:v>29.5</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Braintree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21.6</c:v>
                </c:pt>
                <c:pt idx="1">
                  <c:v>17.7</c:v>
                </c:pt>
                <c:pt idx="2">
                  <c:v>19.2</c:v>
                </c:pt>
                <c:pt idx="3">
                  <c:v>20.5</c:v>
                </c:pt>
                <c:pt idx="4">
                  <c:v>24.1</c:v>
                </c:pt>
                <c:pt idx="5">
                  <c:v>18.7</c:v>
                </c:pt>
                <c:pt idx="6">
                  <c:v>16.3</c:v>
                </c:pt>
                <c:pt idx="7">
                  <c:v>18.8</c:v>
                </c:pt>
                <c:pt idx="8">
                  <c:v>20.9</c:v>
                </c:pt>
                <c:pt idx="9">
                  <c:v>20.8</c:v>
                </c:pt>
                <c:pt idx="10">
                  <c:v>21.8</c:v>
                </c:pt>
                <c:pt idx="11">
                  <c:v>17.8</c:v>
                </c:pt>
                <c:pt idx="12">
                  <c:v>21.1</c:v>
                </c:pt>
                <c:pt idx="13">
                  <c:v>12.2</c:v>
                </c:pt>
                <c:pt idx="14">
                  <c:v>12.9</c:v>
                </c:pt>
                <c:pt idx="15">
                  <c:v>19.600000000000001</c:v>
                </c:pt>
                <c:pt idx="16">
                  <c:v>12.4</c:v>
                </c:pt>
                <c:pt idx="17">
                  <c:v>12.8</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Braintree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27.300000000000004</c:v>
                </c:pt>
                <c:pt idx="1">
                  <c:v>22.900000000000006</c:v>
                </c:pt>
                <c:pt idx="2">
                  <c:v>30</c:v>
                </c:pt>
                <c:pt idx="3">
                  <c:v>23.199999999999989</c:v>
                </c:pt>
                <c:pt idx="4">
                  <c:v>25.599999999999994</c:v>
                </c:pt>
                <c:pt idx="5">
                  <c:v>27.200000000000003</c:v>
                </c:pt>
                <c:pt idx="6">
                  <c:v>12.899999999999991</c:v>
                </c:pt>
                <c:pt idx="7">
                  <c:v>20.099999999999994</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Braintree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13.807270328290716</c:v>
                </c:pt>
                <c:pt idx="1">
                  <c:v>10.958123333102472</c:v>
                </c:pt>
                <c:pt idx="2">
                  <c:v>16.296737038844338</c:v>
                </c:pt>
                <c:pt idx="3">
                  <c:v>15.778457312638553</c:v>
                </c:pt>
                <c:pt idx="4">
                  <c:v>6.9870985987754821</c:v>
                </c:pt>
                <c:pt idx="5">
                  <c:v>3.1950101832993889</c:v>
                </c:pt>
                <c:pt idx="6">
                  <c:v>18.661942124356703</c:v>
                </c:pt>
                <c:pt idx="7">
                  <c:v>11.93495840363023</c:v>
                </c:pt>
                <c:pt idx="8">
                  <c:v>11.96690667405151</c:v>
                </c:pt>
                <c:pt idx="9">
                  <c:v>8.5866747979874987</c:v>
                </c:pt>
                <c:pt idx="10">
                  <c:v>19.35009196811772</c:v>
                </c:pt>
                <c:pt idx="11">
                  <c:v>5.0206920335670766</c:v>
                </c:pt>
                <c:pt idx="12">
                  <c:v>0</c:v>
                </c:pt>
                <c:pt idx="13">
                  <c:v>7.4682274247491645</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Braintree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53.800000000000004</c:v>
                </c:pt>
                <c:pt idx="1">
                  <c:v>51.8</c:v>
                </c:pt>
                <c:pt idx="2">
                  <c:v>53.9</c:v>
                </c:pt>
                <c:pt idx="3">
                  <c:v>53.400000000000006</c:v>
                </c:pt>
                <c:pt idx="4">
                  <c:v>53.5</c:v>
                </c:pt>
                <c:pt idx="5">
                  <c:v>51.5</c:v>
                </c:pt>
                <c:pt idx="6">
                  <c:v>45.4</c:v>
                </c:pt>
                <c:pt idx="7">
                  <c:v>52.5</c:v>
                </c:pt>
                <c:pt idx="8">
                  <c:v>53.300000000000004</c:v>
                </c:pt>
                <c:pt idx="9">
                  <c:v>53.3</c:v>
                </c:pt>
                <c:pt idx="10">
                  <c:v>53.199999999999996</c:v>
                </c:pt>
                <c:pt idx="11">
                  <c:v>50.8</c:v>
                </c:pt>
                <c:pt idx="12">
                  <c:v>56.1</c:v>
                </c:pt>
                <c:pt idx="13">
                  <c:v>50.7</c:v>
                </c:pt>
                <c:pt idx="14">
                  <c:v>59.5</c:v>
                </c:pt>
                <c:pt idx="15">
                  <c:v>64.099999999999994</c:v>
                </c:pt>
                <c:pt idx="16">
                  <c:v>54.4</c:v>
                </c:pt>
                <c:pt idx="17">
                  <c:v>55.3</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Braintree has been from 2004 to 2021 in line with or above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per head within Braintree from 2004 to 2019 very closely matched the situation for England.</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Braintree,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Braintree's economic inactivity rate has fluctuated in the period 2004 to 2021, but it has been most consistently below the rural situation</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Braintree from 2014 to 2019 was roughly in line with the rural and England situations, it then dropped below these situations in 2020 before moving closer once again in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Braintree has been less stable and has in some years been significantly greater than both the England and rural average position, and in other years significantly lower.</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Braintree in general did not match the increase in proportion of employed people in skilled employment seen for 'Rural as a Region' or England, hence moving from being in line to being below these situations from 2004 to 2021.</a:t>
          </a:r>
          <a:endParaRPr lang="en-GB" sz="1100">
            <a:latin typeface="Avenir Next LT Pro" panose="020B0504020202020204" pitchFamily="34" charset="0"/>
          </a:endParaRPr>
        </a:p>
      </xdr:txBody>
    </xdr:sp>
    <xdr:clientData/>
  </xdr:twoCellAnchor>
  <xdr:twoCellAnchor>
    <xdr:from>
      <xdr:col>0</xdr:col>
      <xdr:colOff>647700</xdr:colOff>
      <xdr:row>12</xdr:row>
      <xdr:rowOff>480060</xdr:rowOff>
    </xdr:from>
    <xdr:to>
      <xdr:col>1</xdr:col>
      <xdr:colOff>2628900</xdr:colOff>
      <xdr:row>14</xdr:row>
      <xdr:rowOff>175260</xdr:rowOff>
    </xdr:to>
    <xdr:sp macro="" textlink="">
      <xdr:nvSpPr>
        <xdr:cNvPr id="21" name="TextBox 20">
          <a:extLst>
            <a:ext uri="{FF2B5EF4-FFF2-40B4-BE49-F238E27FC236}">
              <a16:creationId xmlns:a16="http://schemas.microsoft.com/office/drawing/2014/main" id="{C7A37D4E-EE50-490E-BA9D-947E756D580D}"/>
            </a:ext>
          </a:extLst>
        </xdr:cNvPr>
        <xdr:cNvSpPr txBox="1"/>
      </xdr:nvSpPr>
      <xdr:spPr>
        <a:xfrm>
          <a:off x="647700" y="3467100"/>
          <a:ext cx="6682740" cy="9906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Braintree moves from being in line with the rural situation in 2004 to being in line with the England situation by 2019 due to a higher rate of increase from 2014 to 2017.</a:t>
          </a:r>
          <a:endParaRPr lang="en-GB" sz="1100">
            <a:latin typeface="Avenir Next LT Pro" panose="020B0504020202020204" pitchFamily="34" charset="0"/>
          </a:endParaRPr>
        </a:p>
      </xdr:txBody>
    </xdr:sp>
    <xdr:clientData/>
  </xdr:twoCellAnchor>
  <xdr:twoCellAnchor>
    <xdr:from>
      <xdr:col>0</xdr:col>
      <xdr:colOff>624840</xdr:colOff>
      <xdr:row>20</xdr:row>
      <xdr:rowOff>571500</xdr:rowOff>
    </xdr:from>
    <xdr:to>
      <xdr:col>1</xdr:col>
      <xdr:colOff>2606040</xdr:colOff>
      <xdr:row>22</xdr:row>
      <xdr:rowOff>99060</xdr:rowOff>
    </xdr:to>
    <xdr:sp macro="" textlink="">
      <xdr:nvSpPr>
        <xdr:cNvPr id="22" name="TextBox 21">
          <a:extLst>
            <a:ext uri="{FF2B5EF4-FFF2-40B4-BE49-F238E27FC236}">
              <a16:creationId xmlns:a16="http://schemas.microsoft.com/office/drawing/2014/main" id="{8A7AA2D2-C3E3-4356-83D6-FC46AC4127F2}"/>
            </a:ext>
          </a:extLst>
        </xdr:cNvPr>
        <xdr:cNvSpPr txBox="1"/>
      </xdr:nvSpPr>
      <xdr:spPr>
        <a:xfrm>
          <a:off x="624840" y="74980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Braintree has fluctuated a little over the years, but is generally in line with the rural average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349</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Braintree</v>
      </c>
      <c r="G12" s="88" t="str">
        <f>IFERROR(VLOOKUP(F12,GVA!B244:B552,1,FALSE),VLOOKUP(F12,GVA!B6:C230,2,FALSE))</f>
        <v>Braintree</v>
      </c>
      <c r="H12" s="89" t="str">
        <f>IF(F12=G12,"",G12)</f>
        <v/>
      </c>
      <c r="I12" s="76">
        <f>IFERROR(VLOOKUP($F12,GVA!$B$7:$S$230,GVA!D$3,FALSE),VLOOKUP($F12,GVA!$B$244:$T$554,GVA!E$3,FALSE))</f>
        <v>22.62</v>
      </c>
      <c r="J12" s="77">
        <f>IFERROR(VLOOKUP($F12,GVA!$B$7:$S$230,GVA!E$3,FALSE),VLOOKUP($F12,GVA!$B$244:$T$554,GVA!F$3,FALSE))</f>
        <v>22.44</v>
      </c>
      <c r="K12" s="77">
        <f>IFERROR(VLOOKUP($F12,GVA!$B$7:$S$230,GVA!F$3,FALSE),VLOOKUP($F12,GVA!$B$244:$T$554,GVA!G$3,FALSE))</f>
        <v>23.78</v>
      </c>
      <c r="L12" s="77">
        <f>IFERROR(VLOOKUP($F12,GVA!$B$7:$S$230,GVA!G$3,FALSE),VLOOKUP($F12,GVA!$B$244:$T$554,GVA!H$3,FALSE))</f>
        <v>24.59</v>
      </c>
      <c r="M12" s="77">
        <f>IFERROR(VLOOKUP($F12,GVA!$B$7:$S$230,GVA!H$3,FALSE),VLOOKUP($F12,GVA!$B$244:$T$554,GVA!I$3,FALSE))</f>
        <v>25.79</v>
      </c>
      <c r="N12" s="77">
        <f>IFERROR(VLOOKUP($F12,GVA!$B$7:$S$230,GVA!I$3,FALSE),VLOOKUP($F12,GVA!$B$244:$T$554,GVA!J$3,FALSE))</f>
        <v>26.68</v>
      </c>
      <c r="O12" s="77">
        <f>IFERROR(VLOOKUP($F12,GVA!$B$7:$S$230,GVA!J$3,FALSE),VLOOKUP($F12,GVA!$B$244:$T$554,GVA!K$3,FALSE))</f>
        <v>27.52</v>
      </c>
      <c r="P12" s="77">
        <f>IFERROR(VLOOKUP($F12,GVA!$B$7:$S$230,GVA!K$3,FALSE),VLOOKUP($F12,GVA!$B$244:$T$554,GVA!L$3,FALSE))</f>
        <v>27.56</v>
      </c>
      <c r="Q12" s="77">
        <f>IFERROR(VLOOKUP($F12,GVA!$B$7:$S$230,GVA!L$3,FALSE),VLOOKUP($F12,GVA!$B$244:$T$554,GVA!M$3,FALSE))</f>
        <v>27.45</v>
      </c>
      <c r="R12" s="77">
        <f>IFERROR(VLOOKUP($F12,GVA!$B$7:$S$230,GVA!M$3,FALSE),VLOOKUP($F12,GVA!$B$244:$T$554,GVA!N$3,FALSE))</f>
        <v>27.45</v>
      </c>
      <c r="S12" s="77">
        <f>IFERROR(VLOOKUP($F12,GVA!$B$7:$S$230,GVA!N$3,FALSE),VLOOKUP($F12,GVA!$B$244:$T$554,GVA!O$3,FALSE))</f>
        <v>28.14</v>
      </c>
      <c r="T12" s="77">
        <f>IFERROR(VLOOKUP($F12,GVA!$B$7:$S$230,GVA!O$3,FALSE),VLOOKUP($F12,GVA!$B$244:$T$554,GVA!P$3,FALSE))</f>
        <v>29.89</v>
      </c>
      <c r="U12" s="77">
        <f>IFERROR(VLOOKUP($F12,GVA!$B$7:$S$230,GVA!P$3,FALSE),VLOOKUP($F12,GVA!$B$244:$T$554,GVA!Q$3,FALSE))</f>
        <v>32.19</v>
      </c>
      <c r="V12" s="77">
        <f>IFERROR(VLOOKUP($F12,GVA!$B$7:$S$230,GVA!Q$3,FALSE),VLOOKUP($F12,GVA!$B$244:$T$554,GVA!R$3,FALSE))</f>
        <v>34.479999999999997</v>
      </c>
      <c r="W12" s="77">
        <f>IFERROR(VLOOKUP($F12,GVA!$B$7:$S$230,GVA!R$3,FALSE),VLOOKUP($F12,GVA!$B$244:$T$554,GVA!S$3,FALSE))</f>
        <v>35.74</v>
      </c>
      <c r="X12" s="77">
        <f>IFERROR(VLOOKUP($F12,GVA!$B$7:$S$230,GVA!S$3,FALSE),VLOOKUP($F12,GVA!$B$244:$T$554,GVA!T$3,FALSE))</f>
        <v>36.229999999999997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Braintree to Rural as a Region</v>
      </c>
      <c r="G15" s="122"/>
      <c r="H15" s="123"/>
      <c r="I15" s="74">
        <f>100*((I12-I13)/I13)</f>
        <v>-3.9087272488203531</v>
      </c>
      <c r="J15" s="74">
        <f t="shared" ref="J15:X15" si="0">100*((J12-J13)/J13)</f>
        <v>-4.4079761445929746</v>
      </c>
      <c r="K15" s="74">
        <f t="shared" si="0"/>
        <v>-2.1557361390722178</v>
      </c>
      <c r="L15" s="74">
        <f t="shared" si="0"/>
        <v>-1.0007476850520738</v>
      </c>
      <c r="M15" s="74">
        <f t="shared" si="0"/>
        <v>2.0794164628716154</v>
      </c>
      <c r="N15" s="74">
        <f t="shared" si="0"/>
        <v>4.7394273055694418</v>
      </c>
      <c r="O15" s="74">
        <f t="shared" si="0"/>
        <v>6.7075338007819827</v>
      </c>
      <c r="P15" s="74">
        <f t="shared" si="0"/>
        <v>5.2927451595737534</v>
      </c>
      <c r="Q15" s="74">
        <f t="shared" si="0"/>
        <v>2.7677496991576263</v>
      </c>
      <c r="R15" s="74">
        <f t="shared" si="0"/>
        <v>1.0159422766043686</v>
      </c>
      <c r="S15" s="74">
        <f t="shared" si="0"/>
        <v>1.8655703370437557</v>
      </c>
      <c r="T15" s="74">
        <f t="shared" si="0"/>
        <v>6.1883574969126061</v>
      </c>
      <c r="U15" s="74">
        <f t="shared" si="0"/>
        <v>11.627330936172514</v>
      </c>
      <c r="V15" s="74">
        <f t="shared" si="0"/>
        <v>16.404557603038405</v>
      </c>
      <c r="W15" s="74">
        <f t="shared" si="0"/>
        <v>18.20970275899823</v>
      </c>
      <c r="X15" s="74">
        <f t="shared" si="0"/>
        <v>18.587388117569553</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Braintree</v>
      </c>
      <c r="G20" s="88"/>
      <c r="H20" s="89"/>
      <c r="I20" s="80">
        <f>IF(VLOOKUP($F20,PAY!$A$11:$AE$349,4,FALSE)="-",#N/A,VLOOKUP($F20,PAY!$A$11:$AE$349,4,FALSE))</f>
        <v>419.9</v>
      </c>
      <c r="J20" s="80">
        <f>IF(VLOOKUP($F20,PAY!$A$11:$AE$349,6,FALSE)="-",#N/A,VLOOKUP($F20,PAY!$A$11:$AE$349,6,FALSE))</f>
        <v>443.8</v>
      </c>
      <c r="K20" s="80">
        <f>IF(VLOOKUP($F20,PAY!$A$11:$AE$349,8,FALSE)="-",#N/A,VLOOKUP($F20,PAY!$A$11:$AE$349,8,FALSE))</f>
        <v>472.3</v>
      </c>
      <c r="L20" s="80">
        <f>IF(VLOOKUP($F20,PAY!$A$11:$AE$349,10,FALSE)="-",#N/A,VLOOKUP($F20,PAY!$A$11:$AE$349,10,FALSE))</f>
        <v>466.2</v>
      </c>
      <c r="M20" s="80">
        <f>IF(VLOOKUP($F20,PAY!$A$11:$AE$349,12,FALSE)="-",#N/A,VLOOKUP($F20,PAY!$A$11:$AE$349,12,FALSE))</f>
        <v>473.4</v>
      </c>
      <c r="N20" s="80">
        <f>IF(VLOOKUP($F20,PAY!$A$11:$AE$349,14,FALSE)="-",#N/A,VLOOKUP($F20,PAY!$A$11:$AE$349,14,FALSE))</f>
        <v>499.3</v>
      </c>
      <c r="O20" s="80">
        <f>IF(VLOOKUP($F20,PAY!$A$11:$AE$349,16,FALSE)="-",#N/A,VLOOKUP($F20,PAY!$A$11:$AE$349,16,FALSE))</f>
        <v>494.2</v>
      </c>
      <c r="P20" s="80">
        <f>IF(VLOOKUP($F20,PAY!$A$11:$AE$349,18,FALSE)="-",#N/A,VLOOKUP($F20,PAY!$A$11:$AE$349,18,FALSE))</f>
        <v>513.79999999999995</v>
      </c>
      <c r="Q20" s="80">
        <f>IF(VLOOKUP($F20,PAY!$A$11:$AE$349,20,FALSE)="-",#N/A,VLOOKUP($F20,PAY!$A$11:$AE$349,20,FALSE))</f>
        <v>533</v>
      </c>
      <c r="R20" s="80">
        <f>IF(VLOOKUP($F20,PAY!$A$11:$AE$349,22,FALSE)="-",#N/A,VLOOKUP($F20,PAY!$A$11:$AE$349,22,FALSE))</f>
        <v>510.6</v>
      </c>
      <c r="S20" s="80">
        <f>IF(VLOOKUP($F20,PAY!$A$11:$AE$349,24,FALSE)="-",#N/A,VLOOKUP($F20,PAY!$A$11:$AE$349,24,FALSE))</f>
        <v>496.2</v>
      </c>
      <c r="T20" s="80">
        <f>IF(VLOOKUP($F20,PAY!$A$11:$AE$349,26,FALSE)="-",#N/A,VLOOKUP($F20,PAY!$A$11:$AE$349,26,FALSE))</f>
        <v>524.29999999999995</v>
      </c>
      <c r="U20" s="80">
        <f>IF(VLOOKUP($F20,PAY!$A$11:$AE$349,28,FALSE)="-",#N/A,VLOOKUP($F20,PAY!$A$11:$AE$349,28,FALSE))</f>
        <v>518.5</v>
      </c>
      <c r="V20" s="80">
        <f>IF(VLOOKUP($F20,PAY!$A$11:$AE$349,30,FALSE)="-",#N/A,VLOOKUP($F20,PAY!$A$11:$AE$349,30,FALSE))</f>
        <v>517.5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Braintree to Rural as a Region</v>
      </c>
      <c r="G23" s="122"/>
      <c r="H23" s="123"/>
      <c r="I23" s="74">
        <f>100*((I20-I21)/I21)</f>
        <v>-3.0237031666588741</v>
      </c>
      <c r="J23" s="74">
        <f t="shared" ref="J23:V23" si="2">100*((J20-J21)/J21)</f>
        <v>1.573496595525548</v>
      </c>
      <c r="K23" s="74">
        <f t="shared" si="2"/>
        <v>5.3976028858023142</v>
      </c>
      <c r="L23" s="74">
        <f t="shared" si="2"/>
        <v>3.4498449507887456</v>
      </c>
      <c r="M23" s="74">
        <f t="shared" si="2"/>
        <v>3.9884106973045239</v>
      </c>
      <c r="N23" s="74">
        <f t="shared" si="2"/>
        <v>7.800090733685705</v>
      </c>
      <c r="O23" s="74">
        <f t="shared" si="2"/>
        <v>4.9696989250781041</v>
      </c>
      <c r="P23" s="74">
        <f t="shared" si="2"/>
        <v>8.2090805605837112</v>
      </c>
      <c r="Q23" s="74">
        <f t="shared" si="2"/>
        <v>8.8905611974418743</v>
      </c>
      <c r="R23" s="74">
        <f t="shared" si="2"/>
        <v>1.2980751120654304</v>
      </c>
      <c r="S23" s="74">
        <f t="shared" si="2"/>
        <v>-3.5429048263632827</v>
      </c>
      <c r="T23" s="74">
        <f t="shared" si="2"/>
        <v>-1.7610699810620838</v>
      </c>
      <c r="U23" s="74">
        <f t="shared" si="2"/>
        <v>-2.3629103614129439</v>
      </c>
      <c r="V23" s="74">
        <f t="shared" si="2"/>
        <v>-8.2860199303484379</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Braintree</v>
      </c>
      <c r="G28" s="88"/>
      <c r="H28" s="89"/>
      <c r="I28" s="76">
        <f>VLOOKUP($F28,EMPLOYMENT!$A$6:$BW$345,6,FALSE)</f>
        <v>76.099999999999994</v>
      </c>
      <c r="J28" s="77">
        <f>VLOOKUP($F28,EMPLOYMENT!$A$6:$BW$345,10,FALSE)</f>
        <v>80</v>
      </c>
      <c r="K28" s="77">
        <f>VLOOKUP($F28,EMPLOYMENT!$A$6:$BW$345,14,FALSE)</f>
        <v>79.3</v>
      </c>
      <c r="L28" s="77">
        <f>VLOOKUP($F28,EMPLOYMENT!$A$6:$BW$345,18,FALSE)</f>
        <v>75.900000000000006</v>
      </c>
      <c r="M28" s="77">
        <f>VLOOKUP($F28,EMPLOYMENT!$A$6:$BW$345,22,FALSE)</f>
        <v>70.599999999999994</v>
      </c>
      <c r="N28" s="77">
        <f>VLOOKUP($F28,EMPLOYMENT!$A$6:$BW$345,26,FALSE)</f>
        <v>75.900000000000006</v>
      </c>
      <c r="O28" s="77">
        <f>VLOOKUP($F28,EMPLOYMENT!$A$6:$BW$345,30,FALSE)</f>
        <v>78.5</v>
      </c>
      <c r="P28" s="77">
        <f>VLOOKUP($F28,EMPLOYMENT!$A$6:$BW$345,34,FALSE)</f>
        <v>76.900000000000006</v>
      </c>
      <c r="Q28" s="77">
        <f>VLOOKUP($F28,EMPLOYMENT!$A$6:$BW$345,38,FALSE)</f>
        <v>72.8</v>
      </c>
      <c r="R28" s="77">
        <f>VLOOKUP($F28,EMPLOYMENT!$A$6:$BW$345,42,FALSE)</f>
        <v>73.8</v>
      </c>
      <c r="S28" s="77">
        <f>VLOOKUP($F28,EMPLOYMENT!$A$6:$BW$345,46,FALSE)</f>
        <v>74.900000000000006</v>
      </c>
      <c r="T28" s="77">
        <f>VLOOKUP($F28,EMPLOYMENT!$A$6:$BW$345,50,FALSE)</f>
        <v>79.7</v>
      </c>
      <c r="U28" s="77">
        <f>VLOOKUP($F28,EMPLOYMENT!$A$6:$BW$345,54,FALSE)</f>
        <v>76.099999999999994</v>
      </c>
      <c r="V28" s="77">
        <f>VLOOKUP($F28,EMPLOYMENT!$A$6:$BW$345,58,FALSE)</f>
        <v>85.1</v>
      </c>
      <c r="W28" s="77">
        <f>VLOOKUP($F28,EMPLOYMENT!$A$6:$BW$345,62,FALSE)</f>
        <v>82.8</v>
      </c>
      <c r="X28" s="77">
        <f>VLOOKUP($F28,EMPLOYMENT!$A$6:$BW$345,66,FALSE)</f>
        <v>76.8</v>
      </c>
      <c r="Y28" s="77">
        <f>VLOOKUP($F28,EMPLOYMENT!$A$6:$BW$345,70,FALSE)</f>
        <v>86</v>
      </c>
      <c r="Z28" s="77">
        <f>VLOOKUP($F28,EMPLOYMENT!$A$6:$BW$345,74,FALSE)</f>
        <v>86.2</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Braintree to Rural as a Region</v>
      </c>
      <c r="G31" s="122"/>
      <c r="H31" s="123"/>
      <c r="I31" s="74">
        <f>(I28-I29)</f>
        <v>-1.1341919401743894E-2</v>
      </c>
      <c r="J31" s="74">
        <f t="shared" ref="J31:Z31" si="4">(J28-J29)</f>
        <v>3.6870245333170431</v>
      </c>
      <c r="K31" s="74">
        <f t="shared" si="4"/>
        <v>3.426811100513234</v>
      </c>
      <c r="L31" s="74">
        <f t="shared" si="4"/>
        <v>0.25953169737216797</v>
      </c>
      <c r="M31" s="74">
        <f t="shared" si="4"/>
        <v>-5.1355243733317479</v>
      </c>
      <c r="N31" s="74">
        <f t="shared" si="4"/>
        <v>1.3904601571268245</v>
      </c>
      <c r="O31" s="74">
        <f t="shared" si="4"/>
        <v>4.952866861030131</v>
      </c>
      <c r="P31" s="74">
        <f t="shared" si="4"/>
        <v>3.1657045967223922</v>
      </c>
      <c r="Q31" s="74">
        <f t="shared" si="4"/>
        <v>-1.2331574754625763</v>
      </c>
      <c r="R31" s="74">
        <f t="shared" si="4"/>
        <v>-0.94447492990020976</v>
      </c>
      <c r="S31" s="74">
        <f t="shared" si="4"/>
        <v>-1.2088603400756028</v>
      </c>
      <c r="T31" s="74">
        <f t="shared" si="4"/>
        <v>2.5094680243909835</v>
      </c>
      <c r="U31" s="74">
        <f t="shared" si="4"/>
        <v>-0.87163248170804764</v>
      </c>
      <c r="V31" s="74">
        <f t="shared" si="4"/>
        <v>7.0672131147540966</v>
      </c>
      <c r="W31" s="74">
        <f t="shared" si="4"/>
        <v>4.7518431065858522</v>
      </c>
      <c r="X31" s="74">
        <f t="shared" si="4"/>
        <v>-1.7912993789567082</v>
      </c>
      <c r="Y31" s="74">
        <f t="shared" si="4"/>
        <v>8.9856537038707955</v>
      </c>
      <c r="Z31" s="74">
        <f t="shared" si="4"/>
        <v>10.04424192212096</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Braintree</v>
      </c>
      <c r="G36" s="88" t="str">
        <f>IFERROR(VLOOKUP(F36,GDHI!B338:C574,2,FALSE),VLOOKUP(F36,GDHI!C3:C336,1,FALSE))</f>
        <v>Braintree</v>
      </c>
      <c r="H36" s="89" t="str">
        <f>IF(F36=G36,"",G36)</f>
        <v/>
      </c>
      <c r="I36" s="83">
        <f>IFERROR(VLOOKUP($F36,GDHI!$B$338:$U$574,GDHI!G$578,FALSE),VLOOKUP($F36,GDHI!$C$3:$U$336,GDHI!F$578,FALSE))</f>
        <v>14253</v>
      </c>
      <c r="J36" s="84">
        <f>IFERROR(VLOOKUP($F36,GDHI!$B$338:$U$574,GDHI!H$578,FALSE),VLOOKUP($F36,GDHI!$C$3:$U$336,GDHI!G$578,FALSE))</f>
        <v>14772</v>
      </c>
      <c r="K36" s="84">
        <f>IFERROR(VLOOKUP($F36,GDHI!$B$338:$U$574,GDHI!I$578,FALSE),VLOOKUP($F36,GDHI!$C$3:$U$336,GDHI!H$578,FALSE))</f>
        <v>15062</v>
      </c>
      <c r="L36" s="84">
        <f>IFERROR(VLOOKUP($F36,GDHI!$B$338:$U$574,GDHI!J$578,FALSE),VLOOKUP($F36,GDHI!$C$3:$U$336,GDHI!I$578,FALSE))</f>
        <v>15624</v>
      </c>
      <c r="M36" s="84">
        <f>IFERROR(VLOOKUP($F36,GDHI!$B$338:$U$574,GDHI!K$578,FALSE),VLOOKUP($F36,GDHI!$C$3:$U$336,GDHI!J$578,FALSE))</f>
        <v>16246</v>
      </c>
      <c r="N36" s="84">
        <f>IFERROR(VLOOKUP($F36,GDHI!$B$338:$U$574,GDHI!L$578,FALSE),VLOOKUP($F36,GDHI!$C$3:$U$336,GDHI!K$578,FALSE))</f>
        <v>16718</v>
      </c>
      <c r="O36" s="84">
        <f>IFERROR(VLOOKUP($F36,GDHI!$B$338:$U$574,GDHI!M$578,FALSE),VLOOKUP($F36,GDHI!$C$3:$U$336,GDHI!L$578,FALSE))</f>
        <v>16755</v>
      </c>
      <c r="P36" s="84">
        <f>IFERROR(VLOOKUP($F36,GDHI!$B$338:$U$574,GDHI!N$578,FALSE),VLOOKUP($F36,GDHI!$C$3:$U$336,GDHI!M$578,FALSE))</f>
        <v>17043</v>
      </c>
      <c r="Q36" s="84">
        <f>IFERROR(VLOOKUP($F36,GDHI!$B$338:$U$574,GDHI!O$578,FALSE),VLOOKUP($F36,GDHI!$C$3:$U$336,GDHI!N$578,FALSE))</f>
        <v>17660</v>
      </c>
      <c r="R36" s="84">
        <f>IFERROR(VLOOKUP($F36,GDHI!$B$338:$U$574,GDHI!P$578,FALSE),VLOOKUP($F36,GDHI!$C$3:$U$336,GDHI!O$578,FALSE))</f>
        <v>18285</v>
      </c>
      <c r="S36" s="84">
        <f>IFERROR(VLOOKUP($F36,GDHI!$B$338:$U$574,GDHI!Q$578,FALSE),VLOOKUP($F36,GDHI!$C$3:$U$336,GDHI!P$578,FALSE))</f>
        <v>18734</v>
      </c>
      <c r="T36" s="84">
        <f>IFERROR(VLOOKUP($F36,GDHI!$B$338:$U$574,GDHI!R$578,FALSE),VLOOKUP($F36,GDHI!$C$3:$U$336,GDHI!Q$578,FALSE))</f>
        <v>19790</v>
      </c>
      <c r="U36" s="84">
        <f>IFERROR(VLOOKUP($F36,GDHI!$B$338:$U$574,GDHI!S$578,FALSE),VLOOKUP($F36,GDHI!$C$3:$U$336,GDHI!R$578,FALSE))</f>
        <v>20291</v>
      </c>
      <c r="V36" s="84">
        <f>IFERROR(VLOOKUP($F36,GDHI!$B$338:$U$574,GDHI!T$578,FALSE),VLOOKUP($F36,GDHI!$C$3:$U$336,GDHI!S$578,FALSE))</f>
        <v>20663</v>
      </c>
      <c r="W36" s="84">
        <f>IFERROR(VLOOKUP($F36,GDHI!$B$338:$U$574,GDHI!U$578,FALSE),VLOOKUP($F36,GDHI!$C$3:$U$336,GDHI!T$578,FALSE))</f>
        <v>21655</v>
      </c>
      <c r="X36" s="84">
        <f>IFERROR(VLOOKUP($F36,GDHI!$B$338:$U$574,GDHI!V$578,FALSE),VLOOKUP($F36,GDHI!$C$3:$U$336,GDHI!U$578,FALSE))</f>
        <v>22179</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Braintree to Rural as a Region</v>
      </c>
      <c r="G39" s="122"/>
      <c r="H39" s="123"/>
      <c r="I39" s="74">
        <f>100*((I36-I37)/I37)</f>
        <v>-3.1034365546075664</v>
      </c>
      <c r="J39" s="74">
        <f t="shared" ref="J39:X39" si="6">100*((J36-J37)/J37)</f>
        <v>-3.7117797189529504</v>
      </c>
      <c r="K39" s="74">
        <f t="shared" si="6"/>
        <v>-5.4142734431244444</v>
      </c>
      <c r="L39" s="74">
        <f t="shared" si="6"/>
        <v>-5.6987469525273333</v>
      </c>
      <c r="M39" s="74">
        <f t="shared" si="6"/>
        <v>-4.7901973246783776</v>
      </c>
      <c r="N39" s="74">
        <f t="shared" si="6"/>
        <v>-3.3245789461002886</v>
      </c>
      <c r="O39" s="74">
        <f t="shared" si="6"/>
        <v>-4.3004355172660054</v>
      </c>
      <c r="P39" s="74">
        <f t="shared" si="6"/>
        <v>-4.2530651335871186</v>
      </c>
      <c r="Q39" s="74">
        <f t="shared" si="6"/>
        <v>-3.8459294750883712</v>
      </c>
      <c r="R39" s="74">
        <f t="shared" si="6"/>
        <v>-3.1203896024437872</v>
      </c>
      <c r="S39" s="74">
        <f t="shared" si="6"/>
        <v>-3.4132527081196606</v>
      </c>
      <c r="T39" s="74">
        <f t="shared" si="6"/>
        <v>-3.266915022502149</v>
      </c>
      <c r="U39" s="74">
        <f t="shared" si="6"/>
        <v>-1.61893965455541</v>
      </c>
      <c r="V39" s="74">
        <f t="shared" si="6"/>
        <v>-1.4427906179145895</v>
      </c>
      <c r="W39" s="74">
        <f t="shared" si="6"/>
        <v>-0.85560832781932405</v>
      </c>
      <c r="X39" s="74">
        <f t="shared" si="6"/>
        <v>-0.38684233461354772</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Braintree</v>
      </c>
      <c r="G44" s="88"/>
      <c r="H44" s="89"/>
      <c r="I44" s="76">
        <f>VLOOKUP($F44,'LOW PAID'!$A$9:$N$444,6,FALSE)</f>
        <v>29.8</v>
      </c>
      <c r="J44" s="77">
        <f>VLOOKUP($F44,'LOW PAID'!$P$9:$W$444,6,FALSE)</f>
        <v>29.5</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Braintree to Rural as a Region</v>
      </c>
      <c r="G47" s="122"/>
      <c r="H47" s="123"/>
      <c r="I47" s="74">
        <f>(I44-I45)</f>
        <v>4.6061253217868838</v>
      </c>
      <c r="J47" s="74">
        <f>(J44-J45)</f>
        <v>3.8138834909699462</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Braintree</v>
      </c>
      <c r="G52" s="88"/>
      <c r="H52" s="89"/>
      <c r="I52" s="76">
        <f>VLOOKUP($F52,INACTIVITY!$A$6:$BW$345,6,FALSE)</f>
        <v>21.6</v>
      </c>
      <c r="J52" s="77">
        <f>VLOOKUP($F52,INACTIVITY!$A$6:$BW$345,10,FALSE)</f>
        <v>17.7</v>
      </c>
      <c r="K52" s="77">
        <f>VLOOKUP($F52,INACTIVITY!$A$6:$BW$345,14,FALSE)</f>
        <v>19.2</v>
      </c>
      <c r="L52" s="77">
        <f>VLOOKUP($F52,INACTIVITY!$A$6:$BW$345,18,FALSE)</f>
        <v>20.5</v>
      </c>
      <c r="M52" s="77">
        <f>VLOOKUP($F52,INACTIVITY!$A$6:$BW$345,22,FALSE)</f>
        <v>24.1</v>
      </c>
      <c r="N52" s="77">
        <f>VLOOKUP($F52,INACTIVITY!$A$6:$BW$345,26,FALSE)</f>
        <v>18.7</v>
      </c>
      <c r="O52" s="77">
        <f>VLOOKUP($F52,INACTIVITY!$A$6:$BW$345,30,FALSE)</f>
        <v>16.3</v>
      </c>
      <c r="P52" s="77">
        <f>VLOOKUP($F52,INACTIVITY!$A$6:$BW$345,34,FALSE)</f>
        <v>18.8</v>
      </c>
      <c r="Q52" s="77">
        <f>VLOOKUP($F52,INACTIVITY!$A$6:$BW$345,38,FALSE)</f>
        <v>20.9</v>
      </c>
      <c r="R52" s="77">
        <f>VLOOKUP($F52,INACTIVITY!$A$6:$BW$345,42,FALSE)</f>
        <v>20.8</v>
      </c>
      <c r="S52" s="77">
        <f>VLOOKUP($F52,INACTIVITY!$A$6:$BW$345,46,FALSE)</f>
        <v>21.8</v>
      </c>
      <c r="T52" s="77">
        <f>VLOOKUP($F52,INACTIVITY!$A$6:$BW$345,50,FALSE)</f>
        <v>17.8</v>
      </c>
      <c r="U52" s="77">
        <f>VLOOKUP($F52,INACTIVITY!$A$6:$BW$345,54,FALSE)</f>
        <v>21.1</v>
      </c>
      <c r="V52" s="77">
        <f>VLOOKUP($F52,INACTIVITY!$A$6:$BW$345,58,FALSE)</f>
        <v>12.2</v>
      </c>
      <c r="W52" s="77">
        <f>VLOOKUP($F52,INACTIVITY!$A$6:$BW$345,62,FALSE)</f>
        <v>12.9</v>
      </c>
      <c r="X52" s="77">
        <f>VLOOKUP($F52,INACTIVITY!$A$6:$BW$345,66,FALSE)</f>
        <v>19.600000000000001</v>
      </c>
      <c r="Y52" s="77">
        <f>VLOOKUP($F52,INACTIVITY!$A$6:$BW$345,70,FALSE)</f>
        <v>12.4</v>
      </c>
      <c r="Z52" s="77">
        <f>VLOOKUP($F52,INACTIVITY!$A$6:$BW$345,74,FALSE)</f>
        <v>12.8</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Braintree to Rural as a Region</v>
      </c>
      <c r="G55" s="122"/>
      <c r="H55" s="123"/>
      <c r="I55" s="74">
        <f>(I52-I53)</f>
        <v>0.20435542838976417</v>
      </c>
      <c r="J55" s="74">
        <f t="shared" ref="J55:Z55" si="10">(J52-J53)</f>
        <v>-3.3085227272727273</v>
      </c>
      <c r="K55" s="74">
        <f t="shared" si="10"/>
        <v>-1.6624653934587776</v>
      </c>
      <c r="L55" s="74">
        <f t="shared" si="10"/>
        <v>-0.81406533153663929</v>
      </c>
      <c r="M55" s="74">
        <f t="shared" si="10"/>
        <v>3.2649976891079966</v>
      </c>
      <c r="N55" s="74">
        <f t="shared" si="10"/>
        <v>-2.2331437579204412</v>
      </c>
      <c r="O55" s="74">
        <f t="shared" si="10"/>
        <v>-5.3919371275051731</v>
      </c>
      <c r="P55" s="74">
        <f t="shared" si="10"/>
        <v>-2.6942457807534481</v>
      </c>
      <c r="Q55" s="74">
        <f t="shared" si="10"/>
        <v>-0.2825487944890952</v>
      </c>
      <c r="R55" s="74">
        <f t="shared" si="10"/>
        <v>2.5406902561229572E-2</v>
      </c>
      <c r="S55" s="74">
        <f t="shared" si="10"/>
        <v>1.5267895440276007</v>
      </c>
      <c r="T55" s="74">
        <f t="shared" si="10"/>
        <v>-1.8961946834069572</v>
      </c>
      <c r="U55" s="74">
        <f t="shared" si="10"/>
        <v>1.2475706529305306</v>
      </c>
      <c r="V55" s="74">
        <f t="shared" si="10"/>
        <v>-7.0532773342803772</v>
      </c>
      <c r="W55" s="74">
        <f t="shared" si="10"/>
        <v>-6.2769560091828485</v>
      </c>
      <c r="X55" s="74">
        <f t="shared" si="10"/>
        <v>0.74793505063507126</v>
      </c>
      <c r="Y55" s="74">
        <f t="shared" si="10"/>
        <v>-7.3725827218714617</v>
      </c>
      <c r="Z55" s="74">
        <f t="shared" si="10"/>
        <v>-8.2851797756300698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Braintree</v>
      </c>
      <c r="G60" s="88"/>
      <c r="H60" s="89"/>
      <c r="I60" s="76">
        <f>VLOOKUP($F60,DISABILITY!$A$718:$I$1052,DISABILITY!B$1053,FALSE)</f>
        <v>27.300000000000004</v>
      </c>
      <c r="J60" s="77">
        <f>VLOOKUP($F60,DISABILITY!$A$718:$I$1052,DISABILITY!C$1053,FALSE)</f>
        <v>22.900000000000006</v>
      </c>
      <c r="K60" s="77">
        <f>VLOOKUP($F60,DISABILITY!$A$718:$I$1052,DISABILITY!D$1053,FALSE)</f>
        <v>30</v>
      </c>
      <c r="L60" s="77">
        <f>VLOOKUP($F60,DISABILITY!$A$718:$I$1052,DISABILITY!E$1053,FALSE)</f>
        <v>23.199999999999989</v>
      </c>
      <c r="M60" s="77">
        <f>VLOOKUP($F60,DISABILITY!$A$718:$I$1052,DISABILITY!F$1053,FALSE)</f>
        <v>25.599999999999994</v>
      </c>
      <c r="N60" s="77">
        <f>VLOOKUP($F60,DISABILITY!$A$718:$I$1052,DISABILITY!G$1053,FALSE)</f>
        <v>27.200000000000003</v>
      </c>
      <c r="O60" s="77">
        <f>VLOOKUP($F60,DISABILITY!$A$718:$I$1052,DISABILITY!H$1053,FALSE)</f>
        <v>12.899999999999991</v>
      </c>
      <c r="P60" s="77">
        <f>VLOOKUP($F60,DISABILITY!$A$718:$I$1052,DISABILITY!I$1053,FALSE)</f>
        <v>20.099999999999994</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Braintree to Rural as a Region</v>
      </c>
      <c r="G63" s="122"/>
      <c r="H63" s="123"/>
      <c r="I63" s="74">
        <f>(I60-I61)</f>
        <v>-0.12015654064724401</v>
      </c>
      <c r="J63" s="74">
        <f t="shared" ref="J63:P63" si="12">(J60-J61)</f>
        <v>-4.4190444070511816</v>
      </c>
      <c r="K63" s="74">
        <f t="shared" si="12"/>
        <v>1.8808716385017945</v>
      </c>
      <c r="L63" s="74">
        <f t="shared" si="12"/>
        <v>-2.7909345389966873</v>
      </c>
      <c r="M63" s="74">
        <f t="shared" si="12"/>
        <v>0.1247741813338763</v>
      </c>
      <c r="N63" s="74">
        <f t="shared" si="12"/>
        <v>1.6687523145580201</v>
      </c>
      <c r="O63" s="74">
        <f t="shared" si="12"/>
        <v>-10.897222287996954</v>
      </c>
      <c r="P63" s="74">
        <f t="shared" si="12"/>
        <v>-5.2541779303421805</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Braintree</v>
      </c>
      <c r="G68" s="88"/>
      <c r="H68" s="89"/>
      <c r="I68" s="76">
        <f>VLOOKUP($F68,'WORKLESS HOUSEHOLDS'!$DW$4:$EC$397,7,FALSE)</f>
        <v>13.807270328290716</v>
      </c>
      <c r="J68" s="77">
        <f>VLOOKUP($F68,'WORKLESS HOUSEHOLDS'!$DN$4:$DT$397,7,FALSE)</f>
        <v>10.958123333102472</v>
      </c>
      <c r="K68" s="77">
        <f>VLOOKUP($F68,'WORKLESS HOUSEHOLDS'!$DE$4:$DK$397,7,FALSE)</f>
        <v>16.296737038844338</v>
      </c>
      <c r="L68" s="77">
        <f>VLOOKUP($F68,'WORKLESS HOUSEHOLDS'!$CV$4:$DB$397,7,FALSE)</f>
        <v>15.778457312638553</v>
      </c>
      <c r="M68" s="77">
        <f>VLOOKUP($F68,'WORKLESS HOUSEHOLDS'!$CM$4:$CS$397,7,FALSE)</f>
        <v>6.9870985987754821</v>
      </c>
      <c r="N68" s="77">
        <f>VLOOKUP($F68,'WORKLESS HOUSEHOLDS'!$CD$4:$CJ$397,7,FALSE)</f>
        <v>3.1950101832993889</v>
      </c>
      <c r="O68" s="77">
        <f>VLOOKUP($F68,'WORKLESS HOUSEHOLDS'!$BU$4:$CA$397,7,FALSE)</f>
        <v>18.661942124356703</v>
      </c>
      <c r="P68" s="77">
        <f>VLOOKUP($F68,'WORKLESS HOUSEHOLDS'!$BL$4:$BR$397,7,FALSE)</f>
        <v>11.93495840363023</v>
      </c>
      <c r="Q68" s="77">
        <f>VLOOKUP($F68,'WORKLESS HOUSEHOLDS'!$BC$4:$BI$397,7,FALSE)</f>
        <v>11.96690667405151</v>
      </c>
      <c r="R68" s="77">
        <f>VLOOKUP($F68,'WORKLESS HOUSEHOLDS'!$AT$4:$AZ$397,7,FALSE)</f>
        <v>8.5866747979874987</v>
      </c>
      <c r="S68" s="77">
        <f>VLOOKUP($F68,'WORKLESS HOUSEHOLDS'!$AK$4:$AQ$397,7,FALSE)</f>
        <v>19.35009196811772</v>
      </c>
      <c r="T68" s="77">
        <f>VLOOKUP($F68,'WORKLESS HOUSEHOLDS'!$AB$4:$AH$397,7,FALSE)</f>
        <v>5.0206920335670766</v>
      </c>
      <c r="U68" s="77" t="str">
        <f>VLOOKUP($F68,'WORKLESS HOUSEHOLDS'!$S$4:$Y$397,7,FALSE)</f>
        <v>#</v>
      </c>
      <c r="V68" s="77">
        <f>VLOOKUP($F68,'WORKLESS HOUSEHOLDS'!$J$4:$P$397,7,FALSE)</f>
        <v>7.4682274247491645</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Braintree to Rural as a Region</v>
      </c>
      <c r="G71" s="122"/>
      <c r="H71" s="123"/>
      <c r="I71" s="74">
        <f>(I68-I69)</f>
        <v>3.7953244657040255</v>
      </c>
      <c r="J71" s="74">
        <f t="shared" ref="J71:W71" si="14">(J68-J69)</f>
        <v>4.6968495627448092E-2</v>
      </c>
      <c r="K71" s="74">
        <f t="shared" si="14"/>
        <v>6.0034913096884939</v>
      </c>
      <c r="L71" s="74">
        <f t="shared" si="14"/>
        <v>4.8124506513088203</v>
      </c>
      <c r="M71" s="74">
        <f t="shared" si="14"/>
        <v>-4.7066805824129911</v>
      </c>
      <c r="N71" s="74">
        <f t="shared" si="14"/>
        <v>-8.7060894959559931</v>
      </c>
      <c r="O71" s="74">
        <f t="shared" si="14"/>
        <v>7.6266888766141907</v>
      </c>
      <c r="P71" s="74">
        <f t="shared" si="14"/>
        <v>2.2434605178623919</v>
      </c>
      <c r="Q71" s="74">
        <f t="shared" si="14"/>
        <v>1.1617284136530976</v>
      </c>
      <c r="R71" s="74">
        <f t="shared" si="14"/>
        <v>-2.1194215257420552</v>
      </c>
      <c r="S71" s="74">
        <f t="shared" si="14"/>
        <v>9.1973471399688389</v>
      </c>
      <c r="T71" s="74">
        <f t="shared" si="14"/>
        <v>-4.8829761610656739</v>
      </c>
      <c r="U71" s="74" t="e">
        <f t="shared" si="14"/>
        <v>#VALUE!</v>
      </c>
      <c r="V71" s="74">
        <f t="shared" si="14"/>
        <v>-2.4706410517904835</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Braintree</v>
      </c>
      <c r="G76" s="88"/>
      <c r="H76" s="89"/>
      <c r="I76" s="76">
        <f>VLOOKUP($F76,'SKILLED EMPLOYMENT'!$A$1506:$BW$1841,6,FALSE)</f>
        <v>53.800000000000004</v>
      </c>
      <c r="J76" s="77">
        <f>VLOOKUP($F76,'SKILLED EMPLOYMENT'!$A$1506:$BW$1841,10,FALSE)</f>
        <v>51.8</v>
      </c>
      <c r="K76" s="77">
        <f>VLOOKUP($F76,'SKILLED EMPLOYMENT'!$A$1506:$BW$1841,14,FALSE)</f>
        <v>53.9</v>
      </c>
      <c r="L76" s="77">
        <f>VLOOKUP($F76,'SKILLED EMPLOYMENT'!$A$1506:$BW$1841,18,FALSE)</f>
        <v>53.400000000000006</v>
      </c>
      <c r="M76" s="77">
        <f>VLOOKUP($F76,'SKILLED EMPLOYMENT'!$A$1506:$BW$1841,22,FALSE)</f>
        <v>53.5</v>
      </c>
      <c r="N76" s="77">
        <f>VLOOKUP($F76,'SKILLED EMPLOYMENT'!$A$1506:$BW$1841,26,FALSE)</f>
        <v>51.5</v>
      </c>
      <c r="O76" s="77">
        <f>VLOOKUP($F76,'SKILLED EMPLOYMENT'!$A$1506:$BW$1841,30,FALSE)</f>
        <v>45.4</v>
      </c>
      <c r="P76" s="77">
        <f>VLOOKUP($F76,'SKILLED EMPLOYMENT'!$A$1506:$BW$1841,34,FALSE)</f>
        <v>52.5</v>
      </c>
      <c r="Q76" s="77">
        <f>VLOOKUP($F76,'SKILLED EMPLOYMENT'!$A$1506:$BW$1841,38,FALSE)</f>
        <v>53.300000000000004</v>
      </c>
      <c r="R76" s="77">
        <f>VLOOKUP($F76,'SKILLED EMPLOYMENT'!$A$1506:$BW$1841,42,FALSE)</f>
        <v>53.3</v>
      </c>
      <c r="S76" s="77">
        <f>VLOOKUP($F76,'SKILLED EMPLOYMENT'!$A$1506:$BW$1841,46,FALSE)</f>
        <v>53.199999999999996</v>
      </c>
      <c r="T76" s="77">
        <f>VLOOKUP($F76,'SKILLED EMPLOYMENT'!$A$1506:$BW$1841,50,FALSE)</f>
        <v>50.8</v>
      </c>
      <c r="U76" s="77">
        <f>VLOOKUP($F76,'SKILLED EMPLOYMENT'!$A$1506:$BW$1841,54,FALSE)</f>
        <v>56.1</v>
      </c>
      <c r="V76" s="77">
        <f>VLOOKUP($F76,'SKILLED EMPLOYMENT'!$A$1506:$BW$1841,58,FALSE)</f>
        <v>50.7</v>
      </c>
      <c r="W76" s="77">
        <f>VLOOKUP($F76,'SKILLED EMPLOYMENT'!$A$1506:$BW$1841,62,FALSE)</f>
        <v>59.5</v>
      </c>
      <c r="X76" s="77">
        <f>VLOOKUP($F76,'SKILLED EMPLOYMENT'!$A$1506:$BW$1841,66,FALSE)</f>
        <v>64.099999999999994</v>
      </c>
      <c r="Y76" s="77">
        <f>VLOOKUP($F76,'SKILLED EMPLOYMENT'!$A$1506:$BW$1841,70,FALSE)</f>
        <v>54.4</v>
      </c>
      <c r="Z76" s="77">
        <f>VLOOKUP($F76,'SKILLED EMPLOYMENT'!$A$1506:$BW$1841,74,FALSE)</f>
        <v>55.3</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Braintree to Rural as a Region</v>
      </c>
      <c r="G79" s="122"/>
      <c r="H79" s="123"/>
      <c r="I79" s="74">
        <f>(I76-I77)</f>
        <v>1.1000000000000014</v>
      </c>
      <c r="J79" s="74">
        <f t="shared" ref="J79:Z79" si="17">(J76-J77)</f>
        <v>-1.1000000000000014</v>
      </c>
      <c r="K79" s="74">
        <f t="shared" si="17"/>
        <v>0.39999999999999858</v>
      </c>
      <c r="L79" s="74">
        <f t="shared" si="17"/>
        <v>-0.59999999999999432</v>
      </c>
      <c r="M79" s="74">
        <f t="shared" si="17"/>
        <v>-0.60000000000000142</v>
      </c>
      <c r="N79" s="74">
        <f t="shared" si="17"/>
        <v>-2.8999999999999986</v>
      </c>
      <c r="O79" s="74">
        <f t="shared" si="17"/>
        <v>-10</v>
      </c>
      <c r="P79" s="74">
        <f t="shared" si="17"/>
        <v>-3.1000000000000014</v>
      </c>
      <c r="Q79" s="74">
        <f t="shared" si="17"/>
        <v>-2.0999999999999943</v>
      </c>
      <c r="R79" s="74">
        <f t="shared" si="17"/>
        <v>-2.9000000000000057</v>
      </c>
      <c r="S79" s="74">
        <f t="shared" si="17"/>
        <v>-3.0000000000000071</v>
      </c>
      <c r="T79" s="74">
        <f t="shared" si="17"/>
        <v>-6</v>
      </c>
      <c r="U79" s="74">
        <f t="shared" si="17"/>
        <v>-0.5</v>
      </c>
      <c r="V79" s="74">
        <f t="shared" si="17"/>
        <v>-6.3999999999999986</v>
      </c>
      <c r="W79" s="74">
        <f t="shared" si="17"/>
        <v>1.7000000000000028</v>
      </c>
      <c r="X79" s="74">
        <f t="shared" si="17"/>
        <v>5.2999999999999972</v>
      </c>
      <c r="Y79" s="74">
        <f t="shared" si="17"/>
        <v>-4.3000000000000043</v>
      </c>
      <c r="Z79" s="74">
        <f t="shared" si="17"/>
        <v>-3.1000000000000014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3kd4ExgYPaRzN8zexg/hCrGUWlJp5Y70MTm6XYHQ9DM4Rdf4LhOjKxnRx4cR495rh6s6NN+vEE7hETevUYN3UQ==" saltValue="ZyrcKd473SQzNrwzEgWLe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2022-08-02T10:57:19Z</dcterms:modified>
</cp:coreProperties>
</file>