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34C71172-A24E-42B9-BEE5-9D1F23EDB55A}" xr6:coauthVersionLast="47" xr6:coauthVersionMax="47" xr10:uidLastSave="{CE0BFED6-C673-4CEF-831D-92806AA37707}"/>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<sst xmlns="http://schemas.openxmlformats.org/spreadsheetml/2006/main" count="32859" uniqueCount="1676">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</sst>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Chichester</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24.94</c:v>
                </c:pt>
                <c:pt idx="1">
                  <c:v>24.98</c:v>
                </c:pt>
                <c:pt idx="2">
                  <c:v>25.1</c:v>
                </c:pt>
                <c:pt idx="3">
                  <c:v>25.43</c:v>
                </c:pt>
                <c:pt idx="4">
                  <c:v>25.82</c:v>
                </c:pt>
                <c:pt idx="5">
                  <c:v>25.69</c:v>
                </c:pt>
                <c:pt idx="6">
                  <c:v>25.55</c:v>
                </c:pt>
                <c:pt idx="7">
                  <c:v>25.63</c:v>
                </c:pt>
                <c:pt idx="8">
                  <c:v>25.79</c:v>
                </c:pt>
                <c:pt idx="9">
                  <c:v>26.28</c:v>
                </c:pt>
                <c:pt idx="10">
                  <c:v>26.61</c:v>
                </c:pt>
                <c:pt idx="11">
                  <c:v>27.93</c:v>
                </c:pt>
                <c:pt idx="12">
                  <c:v>29.18</c:v>
                </c:pt>
                <c:pt idx="13">
                  <c:v>30.52</c:v>
                </c:pt>
                <c:pt idx="14">
                  <c:v>30.99</c:v>
                </c:pt>
                <c:pt idx="15">
                  <c:v>31.15</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Chichester</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421.6</c:v>
                </c:pt>
                <c:pt idx="1">
                  <c:v>432.7</c:v>
                </c:pt>
                <c:pt idx="2">
                  <c:v>454.9</c:v>
                </c:pt>
                <c:pt idx="3">
                  <c:v>446.6</c:v>
                </c:pt>
                <c:pt idx="4">
                  <c:v>517</c:v>
                </c:pt>
                <c:pt idx="5">
                  <c:v>481.5</c:v>
                </c:pt>
                <c:pt idx="6">
                  <c:v>460.3</c:v>
                </c:pt>
                <c:pt idx="7">
                  <c:v>481.3</c:v>
                </c:pt>
                <c:pt idx="8">
                  <c:v>507.8</c:v>
                </c:pt>
                <c:pt idx="9">
                  <c:v>500.3</c:v>
                </c:pt>
                <c:pt idx="10">
                  <c:v>540.4</c:v>
                </c:pt>
                <c:pt idx="11">
                  <c:v>550.4</c:v>
                </c:pt>
                <c:pt idx="12">
                  <c:v>498.7</c:v>
                </c:pt>
                <c:pt idx="13">
                  <c:v>574.9</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Chichester</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74.8</c:v>
                </c:pt>
                <c:pt idx="1">
                  <c:v>76.599999999999994</c:v>
                </c:pt>
                <c:pt idx="2">
                  <c:v>73.8</c:v>
                </c:pt>
                <c:pt idx="3">
                  <c:v>72.400000000000006</c:v>
                </c:pt>
                <c:pt idx="4">
                  <c:v>77.900000000000006</c:v>
                </c:pt>
                <c:pt idx="5">
                  <c:v>75.900000000000006</c:v>
                </c:pt>
                <c:pt idx="6">
                  <c:v>79.400000000000006</c:v>
                </c:pt>
                <c:pt idx="7">
                  <c:v>73.099999999999994</c:v>
                </c:pt>
                <c:pt idx="8">
                  <c:v>78.400000000000006</c:v>
                </c:pt>
                <c:pt idx="9">
                  <c:v>79.5</c:v>
                </c:pt>
                <c:pt idx="10">
                  <c:v>81.900000000000006</c:v>
                </c:pt>
                <c:pt idx="11">
                  <c:v>81</c:v>
                </c:pt>
                <c:pt idx="12">
                  <c:v>77.400000000000006</c:v>
                </c:pt>
                <c:pt idx="13">
                  <c:v>81.5</c:v>
                </c:pt>
                <c:pt idx="14">
                  <c:v>82.1</c:v>
                </c:pt>
                <c:pt idx="15">
                  <c:v>85.2</c:v>
                </c:pt>
                <c:pt idx="16">
                  <c:v>73.3</c:v>
                </c:pt>
                <c:pt idx="17">
                  <c:v>71.3</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Chichester</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17815</c:v>
                </c:pt>
                <c:pt idx="1">
                  <c:v>18748</c:v>
                </c:pt>
                <c:pt idx="2">
                  <c:v>19433</c:v>
                </c:pt>
                <c:pt idx="3">
                  <c:v>20110</c:v>
                </c:pt>
                <c:pt idx="4">
                  <c:v>20498</c:v>
                </c:pt>
                <c:pt idx="5">
                  <c:v>20394</c:v>
                </c:pt>
                <c:pt idx="6">
                  <c:v>20677</c:v>
                </c:pt>
                <c:pt idx="7">
                  <c:v>21162</c:v>
                </c:pt>
                <c:pt idx="8">
                  <c:v>21929</c:v>
                </c:pt>
                <c:pt idx="9">
                  <c:v>22807</c:v>
                </c:pt>
                <c:pt idx="10">
                  <c:v>23396</c:v>
                </c:pt>
                <c:pt idx="11">
                  <c:v>24828</c:v>
                </c:pt>
                <c:pt idx="12">
                  <c:v>25067</c:v>
                </c:pt>
                <c:pt idx="13">
                  <c:v>25381</c:v>
                </c:pt>
                <c:pt idx="14">
                  <c:v>26563</c:v>
                </c:pt>
                <c:pt idx="15">
                  <c:v>26915</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Chichester</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24</c:v>
                </c:pt>
                <c:pt idx="1">
                  <c:v>22.1</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Chichester</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24.4</c:v>
                </c:pt>
                <c:pt idx="1">
                  <c:v>21</c:v>
                </c:pt>
                <c:pt idx="2">
                  <c:v>20.8</c:v>
                </c:pt>
                <c:pt idx="3">
                  <c:v>24.4</c:v>
                </c:pt>
                <c:pt idx="4">
                  <c:v>19.8</c:v>
                </c:pt>
                <c:pt idx="5">
                  <c:v>22.1</c:v>
                </c:pt>
                <c:pt idx="6">
                  <c:v>20.2</c:v>
                </c:pt>
                <c:pt idx="7">
                  <c:v>24</c:v>
                </c:pt>
                <c:pt idx="8">
                  <c:v>15.8</c:v>
                </c:pt>
                <c:pt idx="9">
                  <c:v>14.5</c:v>
                </c:pt>
                <c:pt idx="10">
                  <c:v>16.399999999999999</c:v>
                </c:pt>
                <c:pt idx="11">
                  <c:v>18.3</c:v>
                </c:pt>
                <c:pt idx="12">
                  <c:v>21.3</c:v>
                </c:pt>
                <c:pt idx="13">
                  <c:v>18.5</c:v>
                </c:pt>
                <c:pt idx="14">
                  <c:v>14.7</c:v>
                </c:pt>
                <c:pt idx="15">
                  <c:v>12.2</c:v>
                </c:pt>
                <c:pt idx="16">
                  <c:v>25.7</c:v>
                </c:pt>
                <c:pt idx="17">
                  <c:v>26.1</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Chichester</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29.000000000000007</c:v>
                </c:pt>
                <c:pt idx="1">
                  <c:v>51.2</c:v>
                </c:pt>
                <c:pt idx="2">
                  <c:v>19.099999999999994</c:v>
                </c:pt>
                <c:pt idx="3">
                  <c:v>11.300000000000011</c:v>
                </c:pt>
                <c:pt idx="4">
                  <c:v>18.5</c:v>
                </c:pt>
                <c:pt idx="5">
                  <c:v>25.399999999999991</c:v>
                </c:pt>
                <c:pt idx="6">
                  <c:v>21.500000000000007</c:v>
                </c:pt>
                <c:pt idx="7">
                  <c:v>9.2999999999999972</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Chichester</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7.5367566236666921</c:v>
                </c:pt>
                <c:pt idx="1">
                  <c:v>11.087715009286491</c:v>
                </c:pt>
                <c:pt idx="2">
                  <c:v>14.67573539484107</c:v>
                </c:pt>
                <c:pt idx="3">
                  <c:v>21.702333879504323</c:v>
                </c:pt>
                <c:pt idx="4">
                  <c:v>4.2614569979746264</c:v>
                </c:pt>
                <c:pt idx="5">
                  <c:v>0</c:v>
                </c:pt>
                <c:pt idx="6">
                  <c:v>3.7280836665641339</c:v>
                </c:pt>
                <c:pt idx="7">
                  <c:v>0</c:v>
                </c:pt>
                <c:pt idx="8">
                  <c:v>0</c:v>
                </c:pt>
                <c:pt idx="9">
                  <c:v>0</c:v>
                </c:pt>
                <c:pt idx="10">
                  <c:v>0</c:v>
                </c:pt>
                <c:pt idx="11">
                  <c:v>0</c:v>
                </c:pt>
                <c:pt idx="12">
                  <c:v>5.6398061737257716</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Chichester</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54.5</c:v>
                </c:pt>
                <c:pt idx="1">
                  <c:v>56</c:v>
                </c:pt>
                <c:pt idx="2">
                  <c:v>66.099999999999994</c:v>
                </c:pt>
                <c:pt idx="3">
                  <c:v>63.699999999999989</c:v>
                </c:pt>
                <c:pt idx="4">
                  <c:v>63.1</c:v>
                </c:pt>
                <c:pt idx="5">
                  <c:v>62.6</c:v>
                </c:pt>
                <c:pt idx="6">
                  <c:v>64.400000000000006</c:v>
                </c:pt>
                <c:pt idx="7">
                  <c:v>66.3</c:v>
                </c:pt>
                <c:pt idx="8">
                  <c:v>61.999999999999993</c:v>
                </c:pt>
                <c:pt idx="9">
                  <c:v>59.499999999999993</c:v>
                </c:pt>
                <c:pt idx="10">
                  <c:v>60.5</c:v>
                </c:pt>
                <c:pt idx="11">
                  <c:v>60.800000000000004</c:v>
                </c:pt>
                <c:pt idx="12">
                  <c:v>67.599999999999994</c:v>
                </c:pt>
                <c:pt idx="13">
                  <c:v>63</c:v>
                </c:pt>
                <c:pt idx="14">
                  <c:v>57.4</c:v>
                </c:pt>
                <c:pt idx="15">
                  <c:v>62</c:v>
                </c:pt>
                <c:pt idx="16">
                  <c:v>62.199999999999996</c:v>
                </c:pt>
                <c:pt idx="17">
                  <c:v>69.900000000000006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Chichester was from 2004 to 2019 generally in line with or above the rural situation, but dropped below this level in 2020 and 2021.</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The GDHI per head in Chichester has been consistently greater than the rural and England situation.</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Chichester fell between 2017 and 2018, moving it from above to below the England situation.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Chichester's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Chichester, with the exception of 2015, has been from 2014 to 2021 in line with or below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Chichester is unclear due to unavailable data and large year on year movements within the data that was available.</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Chichester in general has a higher proportion of employed people in skilled employment than seen for 'Rural as a Region'.</a:t>
          </a:r>
          <a:endParaRPr lang="en-GB" sz="1100">
            <a:latin typeface="Avenir Next LT Pro" panose="020B0504020202020204" pitchFamily="34" charset="0"/>
          </a:endParaRPr>
        </a:p>
      </xdr:txBody>
    </xdr:sp>
    <xdr:clientData/>
  </xdr:twoCellAnchor>
  <xdr:twoCellAnchor>
    <xdr:from>
      <xdr:col>0</xdr:col>
      <xdr:colOff>609600</xdr:colOff>
      <xdr:row>12</xdr:row>
      <xdr:rowOff>487680</xdr:rowOff>
    </xdr:from>
    <xdr:to>
      <xdr:col>1</xdr:col>
      <xdr:colOff>2590800</xdr:colOff>
      <xdr:row>14</xdr:row>
      <xdr:rowOff>243840</xdr:rowOff>
    </xdr:to>
    <xdr:sp macro="" textlink="">
      <xdr:nvSpPr>
        <xdr:cNvPr id="20" name="TextBox 19">
          <a:extLst>
            <a:ext uri="{FF2B5EF4-FFF2-40B4-BE49-F238E27FC236}">
              <a16:creationId xmlns:a16="http://schemas.microsoft.com/office/drawing/2014/main" id="{68D320A6-7DD3-4EEB-ADF5-970813D0099A}"/>
            </a:ext>
          </a:extLst>
        </xdr:cNvPr>
        <xdr:cNvSpPr txBox="1"/>
      </xdr:nvSpPr>
      <xdr:spPr>
        <a:xfrm>
          <a:off x="609600" y="3474720"/>
          <a:ext cx="6682740" cy="10515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Chichester in 2004 was in line with that of England overall, however by 2008 slow growth had seen Chichester's GVA sit in line with 'Rural as a Region' which has remained the situation up to 2019.</a:t>
          </a:r>
          <a:endParaRPr lang="en-GB" sz="1100">
            <a:latin typeface="Avenir Next LT Pro" panose="020B0504020202020204" pitchFamily="34" charset="0"/>
          </a:endParaRPr>
        </a:p>
      </xdr:txBody>
    </xdr:sp>
    <xdr:clientData/>
  </xdr:twoCellAnchor>
  <xdr:twoCellAnchor>
    <xdr:from>
      <xdr:col>0</xdr:col>
      <xdr:colOff>594360</xdr:colOff>
      <xdr:row>20</xdr:row>
      <xdr:rowOff>586740</xdr:rowOff>
    </xdr:from>
    <xdr:to>
      <xdr:col>1</xdr:col>
      <xdr:colOff>2575560</xdr:colOff>
      <xdr:row>22</xdr:row>
      <xdr:rowOff>114300</xdr:rowOff>
    </xdr:to>
    <xdr:sp macro="" textlink="">
      <xdr:nvSpPr>
        <xdr:cNvPr id="21" name="TextBox 20">
          <a:extLst>
            <a:ext uri="{FF2B5EF4-FFF2-40B4-BE49-F238E27FC236}">
              <a16:creationId xmlns:a16="http://schemas.microsoft.com/office/drawing/2014/main" id="{8FFB486C-759D-40E9-A90C-3B89D9FA8801}"/>
            </a:ext>
          </a:extLst>
        </xdr:cNvPr>
        <xdr:cNvSpPr txBox="1"/>
      </xdr:nvSpPr>
      <xdr:spPr>
        <a:xfrm>
          <a:off x="594360" y="751332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Chichester has fluctuated over the years, but has been generally in line with the rural average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428</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Chichester</v>
      </c>
      <c r="G12" s="88" t="str">
        <f>IFERROR(VLOOKUP(F12,GVA!B244:B552,1,FALSE),VLOOKUP(F12,GVA!B6:C230,2,FALSE))</f>
        <v>Chichester</v>
      </c>
      <c r="H12" s="89" t="str">
        <f>IF(F12=G12,"",G12)</f>
        <v/>
      </c>
      <c r="I12" s="76">
        <f>IFERROR(VLOOKUP($F12,GVA!$B$7:$S$230,GVA!D$3,FALSE),VLOOKUP($F12,GVA!$B$244:$T$554,GVA!E$3,FALSE))</f>
        <v>24.94</v>
      </c>
      <c r="J12" s="77">
        <f>IFERROR(VLOOKUP($F12,GVA!$B$7:$S$230,GVA!E$3,FALSE),VLOOKUP($F12,GVA!$B$244:$T$554,GVA!F$3,FALSE))</f>
        <v>24.98</v>
      </c>
      <c r="K12" s="77">
        <f>IFERROR(VLOOKUP($F12,GVA!$B$7:$S$230,GVA!F$3,FALSE),VLOOKUP($F12,GVA!$B$244:$T$554,GVA!G$3,FALSE))</f>
        <v>25.1</v>
      </c>
      <c r="L12" s="77">
        <f>IFERROR(VLOOKUP($F12,GVA!$B$7:$S$230,GVA!G$3,FALSE),VLOOKUP($F12,GVA!$B$244:$T$554,GVA!H$3,FALSE))</f>
        <v>25.43</v>
      </c>
      <c r="M12" s="77">
        <f>IFERROR(VLOOKUP($F12,GVA!$B$7:$S$230,GVA!H$3,FALSE),VLOOKUP($F12,GVA!$B$244:$T$554,GVA!I$3,FALSE))</f>
        <v>25.82</v>
      </c>
      <c r="N12" s="77">
        <f>IFERROR(VLOOKUP($F12,GVA!$B$7:$S$230,GVA!I$3,FALSE),VLOOKUP($F12,GVA!$B$244:$T$554,GVA!J$3,FALSE))</f>
        <v>25.69</v>
      </c>
      <c r="O12" s="77">
        <f>IFERROR(VLOOKUP($F12,GVA!$B$7:$S$230,GVA!J$3,FALSE),VLOOKUP($F12,GVA!$B$244:$T$554,GVA!K$3,FALSE))</f>
        <v>25.55</v>
      </c>
      <c r="P12" s="77">
        <f>IFERROR(VLOOKUP($F12,GVA!$B$7:$S$230,GVA!K$3,FALSE),VLOOKUP($F12,GVA!$B$244:$T$554,GVA!L$3,FALSE))</f>
        <v>25.63</v>
      </c>
      <c r="Q12" s="77">
        <f>IFERROR(VLOOKUP($F12,GVA!$B$7:$S$230,GVA!L$3,FALSE),VLOOKUP($F12,GVA!$B$244:$T$554,GVA!M$3,FALSE))</f>
        <v>25.79</v>
      </c>
      <c r="R12" s="77">
        <f>IFERROR(VLOOKUP($F12,GVA!$B$7:$S$230,GVA!M$3,FALSE),VLOOKUP($F12,GVA!$B$244:$T$554,GVA!N$3,FALSE))</f>
        <v>26.28</v>
      </c>
      <c r="S12" s="77">
        <f>IFERROR(VLOOKUP($F12,GVA!$B$7:$S$230,GVA!N$3,FALSE),VLOOKUP($F12,GVA!$B$244:$T$554,GVA!O$3,FALSE))</f>
        <v>26.61</v>
      </c>
      <c r="T12" s="77">
        <f>IFERROR(VLOOKUP($F12,GVA!$B$7:$S$230,GVA!O$3,FALSE),VLOOKUP($F12,GVA!$B$244:$T$554,GVA!P$3,FALSE))</f>
        <v>27.93</v>
      </c>
      <c r="U12" s="77">
        <f>IFERROR(VLOOKUP($F12,GVA!$B$7:$S$230,GVA!P$3,FALSE),VLOOKUP($F12,GVA!$B$244:$T$554,GVA!Q$3,FALSE))</f>
        <v>29.18</v>
      </c>
      <c r="V12" s="77">
        <f>IFERROR(VLOOKUP($F12,GVA!$B$7:$S$230,GVA!Q$3,FALSE),VLOOKUP($F12,GVA!$B$244:$T$554,GVA!R$3,FALSE))</f>
        <v>30.52</v>
      </c>
      <c r="W12" s="77">
        <f>IFERROR(VLOOKUP($F12,GVA!$B$7:$S$230,GVA!R$3,FALSE),VLOOKUP($F12,GVA!$B$244:$T$554,GVA!S$3,FALSE))</f>
        <v>30.99</v>
      </c>
      <c r="X12" s="77">
        <f>IFERROR(VLOOKUP($F12,GVA!$B$7:$S$230,GVA!S$3,FALSE),VLOOKUP($F12,GVA!$B$244:$T$554,GVA!T$3,FALSE))</f>
        <v>31.15</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Chichester to Rural as a Region</v>
      </c>
      <c r="G15" s="122"/>
      <c r="H15" s="123"/>
      <c r="I15" s="74">
        <f>100*((I12-I13)/I13)</f>
        <v>5.9467879051467909</v>
      </c>
      <c r="J15" s="74">
        <f t="shared" ref="J15:X15" si="0">100*((J12-J13)/J13)</f>
        <v>6.4121548978639673</v>
      </c>
      <c r="K15" s="74">
        <f t="shared" si="0"/>
        <v>3.275484563048249</v>
      </c>
      <c r="L15" s="74">
        <f t="shared" si="0"/>
        <v>2.3810893196065779</v>
      </c>
      <c r="M15" s="74">
        <f t="shared" si="0"/>
        <v>2.1981594831851581</v>
      </c>
      <c r="N15" s="74">
        <f t="shared" si="0"/>
        <v>0.85291932084254529</v>
      </c>
      <c r="O15" s="74">
        <f t="shared" si="0"/>
        <v>-0.93105055923038593</v>
      </c>
      <c r="P15" s="74">
        <f t="shared" si="0"/>
        <v>-2.0808033947795601</v>
      </c>
      <c r="Q15" s="74">
        <f t="shared" si="0"/>
        <v>-3.4469848910282272</v>
      </c>
      <c r="R15" s="74">
        <f t="shared" si="0"/>
        <v>-3.289655263054172</v>
      </c>
      <c r="S15" s="74">
        <f t="shared" si="0"/>
        <v>-3.6729628049490324</v>
      </c>
      <c r="T15" s="74">
        <f t="shared" si="0"/>
        <v>-0.77481348649150206</v>
      </c>
      <c r="U15" s="74">
        <f t="shared" si="0"/>
        <v>1.1893605690436209</v>
      </c>
      <c r="V15" s="74">
        <f t="shared" si="0"/>
        <v>3.0355886903924705</v>
      </c>
      <c r="W15" s="74">
        <f t="shared" si="0"/>
        <v>2.4991239088235817</v>
      </c>
      <c r="X15" s="74">
        <f t="shared" si="0"/>
        <v>1.9596229605932036</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Chichester</v>
      </c>
      <c r="G20" s="88"/>
      <c r="H20" s="89"/>
      <c r="I20" s="80">
        <f>IF(VLOOKUP($F20,PAY!$A$11:$AE$349,4,FALSE)="-",#N/A,VLOOKUP($F20,PAY!$A$11:$AE$349,4,FALSE))</f>
        <v>421.6</v>
      </c>
      <c r="J20" s="80">
        <f>IF(VLOOKUP($F20,PAY!$A$11:$AE$349,6,FALSE)="-",#N/A,VLOOKUP($F20,PAY!$A$11:$AE$349,6,FALSE))</f>
        <v>432.7</v>
      </c>
      <c r="K20" s="80">
        <f>IF(VLOOKUP($F20,PAY!$A$11:$AE$349,8,FALSE)="-",#N/A,VLOOKUP($F20,PAY!$A$11:$AE$349,8,FALSE))</f>
        <v>454.9</v>
      </c>
      <c r="L20" s="80">
        <f>IF(VLOOKUP($F20,PAY!$A$11:$AE$349,10,FALSE)="-",#N/A,VLOOKUP($F20,PAY!$A$11:$AE$349,10,FALSE))</f>
        <v>446.6</v>
      </c>
      <c r="M20" s="80">
        <f>IF(VLOOKUP($F20,PAY!$A$11:$AE$349,12,FALSE)="-",#N/A,VLOOKUP($F20,PAY!$A$11:$AE$349,12,FALSE))</f>
        <v>517</v>
      </c>
      <c r="N20" s="80">
        <f>IF(VLOOKUP($F20,PAY!$A$11:$AE$349,14,FALSE)="-",#N/A,VLOOKUP($F20,PAY!$A$11:$AE$349,14,FALSE))</f>
        <v>481.5</v>
      </c>
      <c r="O20" s="80">
        <f>IF(VLOOKUP($F20,PAY!$A$11:$AE$349,16,FALSE)="-",#N/A,VLOOKUP($F20,PAY!$A$11:$AE$349,16,FALSE))</f>
        <v>460.3</v>
      </c>
      <c r="P20" s="80">
        <f>IF(VLOOKUP($F20,PAY!$A$11:$AE$349,18,FALSE)="-",#N/A,VLOOKUP($F20,PAY!$A$11:$AE$349,18,FALSE))</f>
        <v>481.3</v>
      </c>
      <c r="Q20" s="80">
        <f>IF(VLOOKUP($F20,PAY!$A$11:$AE$349,20,FALSE)="-",#N/A,VLOOKUP($F20,PAY!$A$11:$AE$349,20,FALSE))</f>
        <v>507.8</v>
      </c>
      <c r="R20" s="80">
        <f>IF(VLOOKUP($F20,PAY!$A$11:$AE$349,22,FALSE)="-",#N/A,VLOOKUP($F20,PAY!$A$11:$AE$349,22,FALSE))</f>
        <v>500.3</v>
      </c>
      <c r="S20" s="80">
        <f>IF(VLOOKUP($F20,PAY!$A$11:$AE$349,24,FALSE)="-",#N/A,VLOOKUP($F20,PAY!$A$11:$AE$349,24,FALSE))</f>
        <v>540.4</v>
      </c>
      <c r="T20" s="80">
        <f>IF(VLOOKUP($F20,PAY!$A$11:$AE$349,26,FALSE)="-",#N/A,VLOOKUP($F20,PAY!$A$11:$AE$349,26,FALSE))</f>
        <v>550.4</v>
      </c>
      <c r="U20" s="80">
        <f>IF(VLOOKUP($F20,PAY!$A$11:$AE$349,28,FALSE)="-",#N/A,VLOOKUP($F20,PAY!$A$11:$AE$349,28,FALSE))</f>
        <v>498.7</v>
      </c>
      <c r="V20" s="80">
        <f>IF(VLOOKUP($F20,PAY!$A$11:$AE$349,30,FALSE)="-",#N/A,VLOOKUP($F20,PAY!$A$11:$AE$349,30,FALSE))</f>
        <v>574.9</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Chichester to Rural as a Region</v>
      </c>
      <c r="G23" s="122"/>
      <c r="H23" s="123"/>
      <c r="I23" s="74">
        <f>100*((I20-I21)/I21)</f>
        <v>-2.6310865802890615</v>
      </c>
      <c r="J23" s="74">
        <f t="shared" ref="J23:V23" si="2">100*((J20-J21)/J21)</f>
        <v>-0.96698518052297822</v>
      </c>
      <c r="K23" s="74">
        <f t="shared" si="2"/>
        <v>1.5146507574665873</v>
      </c>
      <c r="L23" s="74">
        <f t="shared" si="2"/>
        <v>-0.89939777987503799</v>
      </c>
      <c r="M23" s="74">
        <f t="shared" si="2"/>
        <v>13.565712569722098</v>
      </c>
      <c r="N23" s="74">
        <f t="shared" si="2"/>
        <v>3.9570272146398273</v>
      </c>
      <c r="O23" s="74">
        <f t="shared" si="2"/>
        <v>-2.2307721262374471</v>
      </c>
      <c r="P23" s="74">
        <f t="shared" si="2"/>
        <v>1.3644034134078347</v>
      </c>
      <c r="Q23" s="74">
        <f t="shared" si="2"/>
        <v>3.7422644954239859</v>
      </c>
      <c r="R23" s="74">
        <f t="shared" si="2"/>
        <v>-0.74534473449601713</v>
      </c>
      <c r="S23" s="74">
        <f t="shared" si="2"/>
        <v>5.0492024019211632</v>
      </c>
      <c r="T23" s="74">
        <f t="shared" si="2"/>
        <v>3.1293287858543422</v>
      </c>
      <c r="U23" s="74">
        <f t="shared" si="2"/>
        <v>-6.091385529868151</v>
      </c>
      <c r="V23" s="74">
        <f t="shared" si="2"/>
        <v>1.8866997913868238</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Chichester</v>
      </c>
      <c r="G28" s="88"/>
      <c r="H28" s="89"/>
      <c r="I28" s="76">
        <f>VLOOKUP($F28,EMPLOYMENT!$A$6:$BW$345,6,FALSE)</f>
        <v>74.8</v>
      </c>
      <c r="J28" s="77">
        <f>VLOOKUP($F28,EMPLOYMENT!$A$6:$BW$345,10,FALSE)</f>
        <v>76.599999999999994</v>
      </c>
      <c r="K28" s="77">
        <f>VLOOKUP($F28,EMPLOYMENT!$A$6:$BW$345,14,FALSE)</f>
        <v>73.8</v>
      </c>
      <c r="L28" s="77">
        <f>VLOOKUP($F28,EMPLOYMENT!$A$6:$BW$345,18,FALSE)</f>
        <v>72.400000000000006</v>
      </c>
      <c r="M28" s="77">
        <f>VLOOKUP($F28,EMPLOYMENT!$A$6:$BW$345,22,FALSE)</f>
        <v>77.900000000000006</v>
      </c>
      <c r="N28" s="77">
        <f>VLOOKUP($F28,EMPLOYMENT!$A$6:$BW$345,26,FALSE)</f>
        <v>75.900000000000006</v>
      </c>
      <c r="O28" s="77">
        <f>VLOOKUP($F28,EMPLOYMENT!$A$6:$BW$345,30,FALSE)</f>
        <v>79.400000000000006</v>
      </c>
      <c r="P28" s="77">
        <f>VLOOKUP($F28,EMPLOYMENT!$A$6:$BW$345,34,FALSE)</f>
        <v>73.099999999999994</v>
      </c>
      <c r="Q28" s="77">
        <f>VLOOKUP($F28,EMPLOYMENT!$A$6:$BW$345,38,FALSE)</f>
        <v>78.400000000000006</v>
      </c>
      <c r="R28" s="77">
        <f>VLOOKUP($F28,EMPLOYMENT!$A$6:$BW$345,42,FALSE)</f>
        <v>79.5</v>
      </c>
      <c r="S28" s="77">
        <f>VLOOKUP($F28,EMPLOYMENT!$A$6:$BW$345,46,FALSE)</f>
        <v>81.900000000000006</v>
      </c>
      <c r="T28" s="77">
        <f>VLOOKUP($F28,EMPLOYMENT!$A$6:$BW$345,50,FALSE)</f>
        <v>81</v>
      </c>
      <c r="U28" s="77">
        <f>VLOOKUP($F28,EMPLOYMENT!$A$6:$BW$345,54,FALSE)</f>
        <v>77.400000000000006</v>
      </c>
      <c r="V28" s="77">
        <f>VLOOKUP($F28,EMPLOYMENT!$A$6:$BW$345,58,FALSE)</f>
        <v>81.5</v>
      </c>
      <c r="W28" s="77">
        <f>VLOOKUP($F28,EMPLOYMENT!$A$6:$BW$345,62,FALSE)</f>
        <v>82.1</v>
      </c>
      <c r="X28" s="77">
        <f>VLOOKUP($F28,EMPLOYMENT!$A$6:$BW$345,66,FALSE)</f>
        <v>85.2</v>
      </c>
      <c r="Y28" s="77">
        <f>VLOOKUP($F28,EMPLOYMENT!$A$6:$BW$345,70,FALSE)</f>
        <v>73.3</v>
      </c>
      <c r="Z28" s="77">
        <f>VLOOKUP($F28,EMPLOYMENT!$A$6:$BW$345,74,FALSE)</f>
        <v>71.3</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Chichester to Rural as a Region</v>
      </c>
      <c r="G31" s="122"/>
      <c r="H31" s="123"/>
      <c r="I31" s="74">
        <f>(I28-I29)</f>
        <v>-1.3113419194017411</v>
      </c>
      <c r="J31" s="74">
        <f t="shared" ref="J31:Z31" si="4">(J28-J29)</f>
        <v>0.28702453331703737</v>
      </c>
      <c r="K31" s="74">
        <f t="shared" si="4"/>
        <v>-2.073188899486766</v>
      </c>
      <c r="L31" s="74">
        <f t="shared" si="4"/>
        <v>-3.240468302627832</v>
      </c>
      <c r="M31" s="74">
        <f t="shared" si="4"/>
        <v>2.1644756266682634</v>
      </c>
      <c r="N31" s="74">
        <f t="shared" si="4"/>
        <v>1.3904601571268245</v>
      </c>
      <c r="O31" s="74">
        <f t="shared" si="4"/>
        <v>5.8528668610301366</v>
      </c>
      <c r="P31" s="74">
        <f t="shared" si="4"/>
        <v>-0.63429540327761913</v>
      </c>
      <c r="Q31" s="74">
        <f t="shared" si="4"/>
        <v>4.3668425245374323</v>
      </c>
      <c r="R31" s="74">
        <f t="shared" si="4"/>
        <v>4.7555250700997931</v>
      </c>
      <c r="S31" s="74">
        <f t="shared" si="4"/>
        <v>5.7911396599243972</v>
      </c>
      <c r="T31" s="74">
        <f t="shared" si="4"/>
        <v>3.8094680243909806</v>
      </c>
      <c r="U31" s="74">
        <f t="shared" si="4"/>
        <v>0.42836751829196373</v>
      </c>
      <c r="V31" s="74">
        <f t="shared" si="4"/>
        <v>3.4672131147541023</v>
      </c>
      <c r="W31" s="74">
        <f t="shared" si="4"/>
        <v>4.0518431065858493</v>
      </c>
      <c r="X31" s="74">
        <f t="shared" si="4"/>
        <v>6.6087006210432975</v>
      </c>
      <c r="Y31" s="74">
        <f t="shared" si="4"/>
        <v>-3.7143462961292073</v>
      </c>
      <c r="Z31" s="74">
        <f t="shared" si="4"/>
        <v>-4.8557580778790452</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Chichester</v>
      </c>
      <c r="G36" s="88" t="str">
        <f>IFERROR(VLOOKUP(F36,GDHI!B338:C574,2,FALSE),VLOOKUP(F36,GDHI!C3:C336,1,FALSE))</f>
        <v>Chichester</v>
      </c>
      <c r="H36" s="89" t="str">
        <f>IF(F36=G36,"",G36)</f>
        <v/>
      </c>
      <c r="I36" s="83">
        <f>IFERROR(VLOOKUP($F36,GDHI!$B$338:$U$574,GDHI!G$578,FALSE),VLOOKUP($F36,GDHI!$C$3:$U$336,GDHI!F$578,FALSE))</f>
        <v>17815</v>
      </c>
      <c r="J36" s="84">
        <f>IFERROR(VLOOKUP($F36,GDHI!$B$338:$U$574,GDHI!H$578,FALSE),VLOOKUP($F36,GDHI!$C$3:$U$336,GDHI!G$578,FALSE))</f>
        <v>18748</v>
      </c>
      <c r="K36" s="84">
        <f>IFERROR(VLOOKUP($F36,GDHI!$B$338:$U$574,GDHI!I$578,FALSE),VLOOKUP($F36,GDHI!$C$3:$U$336,GDHI!H$578,FALSE))</f>
        <v>19433</v>
      </c>
      <c r="L36" s="84">
        <f>IFERROR(VLOOKUP($F36,GDHI!$B$338:$U$574,GDHI!J$578,FALSE),VLOOKUP($F36,GDHI!$C$3:$U$336,GDHI!I$578,FALSE))</f>
        <v>20110</v>
      </c>
      <c r="M36" s="84">
        <f>IFERROR(VLOOKUP($F36,GDHI!$B$338:$U$574,GDHI!K$578,FALSE),VLOOKUP($F36,GDHI!$C$3:$U$336,GDHI!J$578,FALSE))</f>
        <v>20498</v>
      </c>
      <c r="N36" s="84">
        <f>IFERROR(VLOOKUP($F36,GDHI!$B$338:$U$574,GDHI!L$578,FALSE),VLOOKUP($F36,GDHI!$C$3:$U$336,GDHI!K$578,FALSE))</f>
        <v>20394</v>
      </c>
      <c r="O36" s="84">
        <f>IFERROR(VLOOKUP($F36,GDHI!$B$338:$U$574,GDHI!M$578,FALSE),VLOOKUP($F36,GDHI!$C$3:$U$336,GDHI!L$578,FALSE))</f>
        <v>20677</v>
      </c>
      <c r="P36" s="84">
        <f>IFERROR(VLOOKUP($F36,GDHI!$B$338:$U$574,GDHI!N$578,FALSE),VLOOKUP($F36,GDHI!$C$3:$U$336,GDHI!M$578,FALSE))</f>
        <v>21162</v>
      </c>
      <c r="Q36" s="84">
        <f>IFERROR(VLOOKUP($F36,GDHI!$B$338:$U$574,GDHI!O$578,FALSE),VLOOKUP($F36,GDHI!$C$3:$U$336,GDHI!N$578,FALSE))</f>
        <v>21929</v>
      </c>
      <c r="R36" s="84">
        <f>IFERROR(VLOOKUP($F36,GDHI!$B$338:$U$574,GDHI!P$578,FALSE),VLOOKUP($F36,GDHI!$C$3:$U$336,GDHI!O$578,FALSE))</f>
        <v>22807</v>
      </c>
      <c r="S36" s="84">
        <f>IFERROR(VLOOKUP($F36,GDHI!$B$338:$U$574,GDHI!Q$578,FALSE),VLOOKUP($F36,GDHI!$C$3:$U$336,GDHI!P$578,FALSE))</f>
        <v>23396</v>
      </c>
      <c r="T36" s="84">
        <f>IFERROR(VLOOKUP($F36,GDHI!$B$338:$U$574,GDHI!R$578,FALSE),VLOOKUP($F36,GDHI!$C$3:$U$336,GDHI!Q$578,FALSE))</f>
        <v>24828</v>
      </c>
      <c r="U36" s="84">
        <f>IFERROR(VLOOKUP($F36,GDHI!$B$338:$U$574,GDHI!S$578,FALSE),VLOOKUP($F36,GDHI!$C$3:$U$336,GDHI!R$578,FALSE))</f>
        <v>25067</v>
      </c>
      <c r="V36" s="84">
        <f>IFERROR(VLOOKUP($F36,GDHI!$B$338:$U$574,GDHI!T$578,FALSE),VLOOKUP($F36,GDHI!$C$3:$U$336,GDHI!S$578,FALSE))</f>
        <v>25381</v>
      </c>
      <c r="W36" s="84">
        <f>IFERROR(VLOOKUP($F36,GDHI!$B$338:$U$574,GDHI!U$578,FALSE),VLOOKUP($F36,GDHI!$C$3:$U$336,GDHI!T$578,FALSE))</f>
        <v>26563</v>
      </c>
      <c r="X36" s="84">
        <f>IFERROR(VLOOKUP($F36,GDHI!$B$338:$U$574,GDHI!V$578,FALSE),VLOOKUP($F36,GDHI!$C$3:$U$336,GDHI!U$578,FALSE))</f>
        <v>26915</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Chichester to Rural as a Region</v>
      </c>
      <c r="G39" s="122"/>
      <c r="H39" s="123"/>
      <c r="I39" s="74">
        <f>100*((I36-I37)/I37)</f>
        <v>21.112206397226281</v>
      </c>
      <c r="J39" s="74">
        <f t="shared" ref="J39:X39" si="6">100*((J36-J37)/J37)</f>
        <v>22.204952195306667</v>
      </c>
      <c r="K39" s="74">
        <f t="shared" si="6"/>
        <v>22.034552129847476</v>
      </c>
      <c r="L39" s="74">
        <f t="shared" si="6"/>
        <v>21.377252866402671</v>
      </c>
      <c r="M39" s="74">
        <f t="shared" si="6"/>
        <v>20.128679997460459</v>
      </c>
      <c r="N39" s="74">
        <f t="shared" si="6"/>
        <v>17.932679565332617</v>
      </c>
      <c r="O39" s="74">
        <f t="shared" si="6"/>
        <v>18.100859135153136</v>
      </c>
      <c r="P39" s="74">
        <f t="shared" si="6"/>
        <v>18.887322398816487</v>
      </c>
      <c r="Q39" s="74">
        <f t="shared" si="6"/>
        <v>19.397656429263144</v>
      </c>
      <c r="R39" s="74">
        <f t="shared" si="6"/>
        <v>20.838571196995602</v>
      </c>
      <c r="S39" s="74">
        <f t="shared" si="6"/>
        <v>20.622586721513418</v>
      </c>
      <c r="T39" s="74">
        <f t="shared" si="6"/>
        <v>21.358718232507158</v>
      </c>
      <c r="U39" s="74">
        <f t="shared" si="6"/>
        <v>21.537530909233627</v>
      </c>
      <c r="V39" s="74">
        <f t="shared" si="6"/>
        <v>21.060859087582141</v>
      </c>
      <c r="W39" s="74">
        <f t="shared" si="6"/>
        <v>21.614983883081752</v>
      </c>
      <c r="X39" s="74">
        <f t="shared" si="6"/>
        <v>20.884085782220858</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Chichester</v>
      </c>
      <c r="G44" s="88"/>
      <c r="H44" s="89"/>
      <c r="I44" s="76">
        <f>VLOOKUP($F44,'LOW PAID'!$A$9:$N$444,6,FALSE)</f>
        <v>24</v>
      </c>
      <c r="J44" s="77">
        <f>VLOOKUP($F44,'LOW PAID'!$P$9:$W$444,6,FALSE)</f>
        <v>22.1</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Chichester to Rural as a Region</v>
      </c>
      <c r="G47" s="122"/>
      <c r="H47" s="123"/>
      <c r="I47" s="74">
        <f>(I44-I45)</f>
        <v>-1.1938746782131169</v>
      </c>
      <c r="J47" s="74">
        <f>(J44-J45)</f>
        <v>-3.5861165090300524</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Chichester</v>
      </c>
      <c r="G52" s="88"/>
      <c r="H52" s="89"/>
      <c r="I52" s="76">
        <f>VLOOKUP($F52,INACTIVITY!$A$6:$BW$345,6,FALSE)</f>
        <v>24.4</v>
      </c>
      <c r="J52" s="77">
        <f>VLOOKUP($F52,INACTIVITY!$A$6:$BW$345,10,FALSE)</f>
        <v>21</v>
      </c>
      <c r="K52" s="77">
        <f>VLOOKUP($F52,INACTIVITY!$A$6:$BW$345,14,FALSE)</f>
        <v>20.8</v>
      </c>
      <c r="L52" s="77">
        <f>VLOOKUP($F52,INACTIVITY!$A$6:$BW$345,18,FALSE)</f>
        <v>24.4</v>
      </c>
      <c r="M52" s="77">
        <f>VLOOKUP($F52,INACTIVITY!$A$6:$BW$345,22,FALSE)</f>
        <v>19.8</v>
      </c>
      <c r="N52" s="77">
        <f>VLOOKUP($F52,INACTIVITY!$A$6:$BW$345,26,FALSE)</f>
        <v>22.1</v>
      </c>
      <c r="O52" s="77">
        <f>VLOOKUP($F52,INACTIVITY!$A$6:$BW$345,30,FALSE)</f>
        <v>20.2</v>
      </c>
      <c r="P52" s="77">
        <f>VLOOKUP($F52,INACTIVITY!$A$6:$BW$345,34,FALSE)</f>
        <v>24</v>
      </c>
      <c r="Q52" s="77">
        <f>VLOOKUP($F52,INACTIVITY!$A$6:$BW$345,38,FALSE)</f>
        <v>15.8</v>
      </c>
      <c r="R52" s="77">
        <f>VLOOKUP($F52,INACTIVITY!$A$6:$BW$345,42,FALSE)</f>
        <v>14.5</v>
      </c>
      <c r="S52" s="77">
        <f>VLOOKUP($F52,INACTIVITY!$A$6:$BW$345,46,FALSE)</f>
        <v>16.399999999999999</v>
      </c>
      <c r="T52" s="77">
        <f>VLOOKUP($F52,INACTIVITY!$A$6:$BW$345,50,FALSE)</f>
        <v>18.3</v>
      </c>
      <c r="U52" s="77">
        <f>VLOOKUP($F52,INACTIVITY!$A$6:$BW$345,54,FALSE)</f>
        <v>21.3</v>
      </c>
      <c r="V52" s="77">
        <f>VLOOKUP($F52,INACTIVITY!$A$6:$BW$345,58,FALSE)</f>
        <v>18.5</v>
      </c>
      <c r="W52" s="77">
        <f>VLOOKUP($F52,INACTIVITY!$A$6:$BW$345,62,FALSE)</f>
        <v>14.7</v>
      </c>
      <c r="X52" s="77">
        <f>VLOOKUP($F52,INACTIVITY!$A$6:$BW$345,66,FALSE)</f>
        <v>12.2</v>
      </c>
      <c r="Y52" s="77">
        <f>VLOOKUP($F52,INACTIVITY!$A$6:$BW$345,70,FALSE)</f>
        <v>25.7</v>
      </c>
      <c r="Z52" s="77">
        <f>VLOOKUP($F52,INACTIVITY!$A$6:$BW$345,74,FALSE)</f>
        <v>26.1</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Chichester to Rural as a Region</v>
      </c>
      <c r="G55" s="122"/>
      <c r="H55" s="123"/>
      <c r="I55" s="74">
        <f>(I52-I53)</f>
        <v>3.0043554283897613</v>
      </c>
      <c r="J55" s="74">
        <f t="shared" ref="J55:Z55" si="10">(J52-J53)</f>
        <v>-8.5227272727266268E-3</v>
      </c>
      <c r="K55" s="74">
        <f t="shared" si="10"/>
        <v>-6.2465393458776219E-2</v>
      </c>
      <c r="L55" s="74">
        <f t="shared" si="10"/>
        <v>3.0859346684633593</v>
      </c>
      <c r="M55" s="74">
        <f t="shared" si="10"/>
        <v>-1.0350023108920041</v>
      </c>
      <c r="N55" s="74">
        <f t="shared" si="10"/>
        <v>1.166856242079561</v>
      </c>
      <c r="O55" s="74">
        <f t="shared" si="10"/>
        <v>-1.4919371275051745</v>
      </c>
      <c r="P55" s="74">
        <f t="shared" si="10"/>
        <v>2.5057542192465512</v>
      </c>
      <c r="Q55" s="74">
        <f t="shared" si="10"/>
        <v>-5.3825487944890931</v>
      </c>
      <c r="R55" s="74">
        <f t="shared" si="10"/>
        <v>-6.2745930974387711</v>
      </c>
      <c r="S55" s="74">
        <f t="shared" si="10"/>
        <v>-3.8732104559724014</v>
      </c>
      <c r="T55" s="74">
        <f t="shared" si="10"/>
        <v>-1.3961946834069572</v>
      </c>
      <c r="U55" s="74">
        <f t="shared" si="10"/>
        <v>1.4475706529305299</v>
      </c>
      <c r="V55" s="74">
        <f t="shared" si="10"/>
        <v>-0.75327733428037646</v>
      </c>
      <c r="W55" s="74">
        <f t="shared" si="10"/>
        <v>-4.4769560091828495</v>
      </c>
      <c r="X55" s="74">
        <f t="shared" si="10"/>
        <v>-6.6520649493649309</v>
      </c>
      <c r="Y55" s="74">
        <f t="shared" si="10"/>
        <v>5.9274172781285372</v>
      </c>
      <c r="Z55" s="74">
        <f t="shared" si="10"/>
        <v>5.0148202243699309</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Chichester</v>
      </c>
      <c r="G60" s="88"/>
      <c r="H60" s="89"/>
      <c r="I60" s="76">
        <f>VLOOKUP($F60,DISABILITY!$A$718:$I$1052,DISABILITY!B$1053,FALSE)</f>
        <v>29.000000000000007</v>
      </c>
      <c r="J60" s="77">
        <f>VLOOKUP($F60,DISABILITY!$A$718:$I$1052,DISABILITY!C$1053,FALSE)</f>
        <v>51.2</v>
      </c>
      <c r="K60" s="77">
        <f>VLOOKUP($F60,DISABILITY!$A$718:$I$1052,DISABILITY!D$1053,FALSE)</f>
        <v>19.099999999999994</v>
      </c>
      <c r="L60" s="77">
        <f>VLOOKUP($F60,DISABILITY!$A$718:$I$1052,DISABILITY!E$1053,FALSE)</f>
        <v>11.300000000000011</v>
      </c>
      <c r="M60" s="77">
        <f>VLOOKUP($F60,DISABILITY!$A$718:$I$1052,DISABILITY!F$1053,FALSE)</f>
        <v>18.5</v>
      </c>
      <c r="N60" s="77">
        <f>VLOOKUP($F60,DISABILITY!$A$718:$I$1052,DISABILITY!G$1053,FALSE)</f>
        <v>25.399999999999991</v>
      </c>
      <c r="O60" s="77">
        <f>VLOOKUP($F60,DISABILITY!$A$718:$I$1052,DISABILITY!H$1053,FALSE)</f>
        <v>21.500000000000007</v>
      </c>
      <c r="P60" s="77">
        <f>VLOOKUP($F60,DISABILITY!$A$718:$I$1052,DISABILITY!I$1053,FALSE)</f>
        <v>9.2999999999999972</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Chichester to Rural as a Region</v>
      </c>
      <c r="G63" s="122"/>
      <c r="H63" s="123"/>
      <c r="I63" s="74">
        <f>(I60-I61)</f>
        <v>1.5798434593527588</v>
      </c>
      <c r="J63" s="74">
        <f t="shared" ref="J63:P63" si="12">(J60-J61)</f>
        <v>23.880955592948816</v>
      </c>
      <c r="K63" s="74">
        <f t="shared" si="12"/>
        <v>-9.0191283614982112</v>
      </c>
      <c r="L63" s="74">
        <f t="shared" si="12"/>
        <v>-14.690934538996665</v>
      </c>
      <c r="M63" s="74">
        <f t="shared" si="12"/>
        <v>-6.975225818666118</v>
      </c>
      <c r="N63" s="74">
        <f t="shared" si="12"/>
        <v>-0.13124768544199128</v>
      </c>
      <c r="O63" s="74">
        <f t="shared" si="12"/>
        <v>-2.297222287996938</v>
      </c>
      <c r="P63" s="74">
        <f t="shared" si="12"/>
        <v>-16.054177930342178</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Chichester</v>
      </c>
      <c r="G68" s="88"/>
      <c r="H68" s="89"/>
      <c r="I68" s="76">
        <f>VLOOKUP($F68,'WORKLESS HOUSEHOLDS'!$DW$4:$EC$397,7,FALSE)</f>
        <v>7.5367566236666921</v>
      </c>
      <c r="J68" s="77">
        <f>VLOOKUP($F68,'WORKLESS HOUSEHOLDS'!$DN$4:$DT$397,7,FALSE)</f>
        <v>11.087715009286491</v>
      </c>
      <c r="K68" s="77">
        <f>VLOOKUP($F68,'WORKLESS HOUSEHOLDS'!$DE$4:$DK$397,7,FALSE)</f>
        <v>14.67573539484107</v>
      </c>
      <c r="L68" s="77">
        <f>VLOOKUP($F68,'WORKLESS HOUSEHOLDS'!$CV$4:$DB$397,7,FALSE)</f>
        <v>21.702333879504323</v>
      </c>
      <c r="M68" s="77">
        <f>VLOOKUP($F68,'WORKLESS HOUSEHOLDS'!$CM$4:$CS$397,7,FALSE)</f>
        <v>4.2614569979746264</v>
      </c>
      <c r="N68" s="77" t="str">
        <f>VLOOKUP($F68,'WORKLESS HOUSEHOLDS'!$CD$4:$CJ$397,7,FALSE)</f>
        <v>*</v>
      </c>
      <c r="O68" s="77">
        <f>VLOOKUP($F68,'WORKLESS HOUSEHOLDS'!$BU$4:$CA$397,7,FALSE)</f>
        <v>3.7280836665641339</v>
      </c>
      <c r="P68" s="77" t="str">
        <f>VLOOKUP($F68,'WORKLESS HOUSEHOLDS'!$BL$4:$BR$397,7,FALSE)</f>
        <v>#</v>
      </c>
      <c r="Q68" s="77" t="str">
        <f>VLOOKUP($F68,'WORKLESS HOUSEHOLDS'!$BC$4:$BI$397,7,FALSE)</f>
        <v>#</v>
      </c>
      <c r="R68" s="77" t="str">
        <f>VLOOKUP($F68,'WORKLESS HOUSEHOLDS'!$AT$4:$AZ$397,7,FALSE)</f>
        <v>#</v>
      </c>
      <c r="S68" s="77" t="str">
        <f>VLOOKUP($F68,'WORKLESS HOUSEHOLDS'!$AK$4:$AQ$397,7,FALSE)</f>
        <v>#</v>
      </c>
      <c r="T68" s="77" t="str">
        <f>VLOOKUP($F68,'WORKLESS HOUSEHOLDS'!$AB$4:$AH$397,7,FALSE)</f>
        <v>#</v>
      </c>
      <c r="U68" s="77">
        <f>VLOOKUP($F68,'WORKLESS HOUSEHOLDS'!$S$4:$Y$397,7,FALSE)</f>
        <v>5.6398061737257716</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Chichester to Rural as a Region</v>
      </c>
      <c r="G71" s="122"/>
      <c r="H71" s="123"/>
      <c r="I71" s="74">
        <f>(I68-I69)</f>
        <v>-2.4751892389199988</v>
      </c>
      <c r="J71" s="74">
        <f t="shared" ref="J71:W71" si="14">(J68-J69)</f>
        <v>0.17656017181146666</v>
      </c>
      <c r="K71" s="74">
        <f t="shared" si="14"/>
        <v>4.3824896656852257</v>
      </c>
      <c r="L71" s="74">
        <f t="shared" si="14"/>
        <v>10.736327218174591</v>
      </c>
      <c r="M71" s="74">
        <f t="shared" si="14"/>
        <v>-7.4323221832138469</v>
      </c>
      <c r="N71" s="74" t="e">
        <f t="shared" si="14"/>
        <v>#VALUE!</v>
      </c>
      <c r="O71" s="74">
        <f t="shared" si="14"/>
        <v>-7.3071695811783783</v>
      </c>
      <c r="P71" s="74" t="e">
        <f t="shared" si="14"/>
        <v>#VALUE!</v>
      </c>
      <c r="Q71" s="74" t="e">
        <f t="shared" si="14"/>
        <v>#VALUE!</v>
      </c>
      <c r="R71" s="74" t="e">
        <f t="shared" si="14"/>
        <v>#VALUE!</v>
      </c>
      <c r="S71" s="74" t="e">
        <f t="shared" si="14"/>
        <v>#VALUE!</v>
      </c>
      <c r="T71" s="74" t="e">
        <f t="shared" si="14"/>
        <v>#VALUE!</v>
      </c>
      <c r="U71" s="74">
        <f t="shared" si="14"/>
        <v>-5.1222439909537041</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Chichester</v>
      </c>
      <c r="G76" s="88"/>
      <c r="H76" s="89"/>
      <c r="I76" s="76">
        <f>VLOOKUP($F76,'SKILLED EMPLOYMENT'!$A$1506:$BW$1841,6,FALSE)</f>
        <v>54.5</v>
      </c>
      <c r="J76" s="77">
        <f>VLOOKUP($F76,'SKILLED EMPLOYMENT'!$A$1506:$BW$1841,10,FALSE)</f>
        <v>56</v>
      </c>
      <c r="K76" s="77">
        <f>VLOOKUP($F76,'SKILLED EMPLOYMENT'!$A$1506:$BW$1841,14,FALSE)</f>
        <v>66.099999999999994</v>
      </c>
      <c r="L76" s="77">
        <f>VLOOKUP($F76,'SKILLED EMPLOYMENT'!$A$1506:$BW$1841,18,FALSE)</f>
        <v>63.699999999999989</v>
      </c>
      <c r="M76" s="77">
        <f>VLOOKUP($F76,'SKILLED EMPLOYMENT'!$A$1506:$BW$1841,22,FALSE)</f>
        <v>63.1</v>
      </c>
      <c r="N76" s="77">
        <f>VLOOKUP($F76,'SKILLED EMPLOYMENT'!$A$1506:$BW$1841,26,FALSE)</f>
        <v>62.6</v>
      </c>
      <c r="O76" s="77">
        <f>VLOOKUP($F76,'SKILLED EMPLOYMENT'!$A$1506:$BW$1841,30,FALSE)</f>
        <v>64.400000000000006</v>
      </c>
      <c r="P76" s="77">
        <f>VLOOKUP($F76,'SKILLED EMPLOYMENT'!$A$1506:$BW$1841,34,FALSE)</f>
        <v>66.3</v>
      </c>
      <c r="Q76" s="77">
        <f>VLOOKUP($F76,'SKILLED EMPLOYMENT'!$A$1506:$BW$1841,38,FALSE)</f>
        <v>61.999999999999993</v>
      </c>
      <c r="R76" s="77">
        <f>VLOOKUP($F76,'SKILLED EMPLOYMENT'!$A$1506:$BW$1841,42,FALSE)</f>
        <v>59.499999999999993</v>
      </c>
      <c r="S76" s="77">
        <f>VLOOKUP($F76,'SKILLED EMPLOYMENT'!$A$1506:$BW$1841,46,FALSE)</f>
        <v>60.5</v>
      </c>
      <c r="T76" s="77">
        <f>VLOOKUP($F76,'SKILLED EMPLOYMENT'!$A$1506:$BW$1841,50,FALSE)</f>
        <v>60.800000000000004</v>
      </c>
      <c r="U76" s="77">
        <f>VLOOKUP($F76,'SKILLED EMPLOYMENT'!$A$1506:$BW$1841,54,FALSE)</f>
        <v>67.599999999999994</v>
      </c>
      <c r="V76" s="77">
        <f>VLOOKUP($F76,'SKILLED EMPLOYMENT'!$A$1506:$BW$1841,58,FALSE)</f>
        <v>63</v>
      </c>
      <c r="W76" s="77">
        <f>VLOOKUP($F76,'SKILLED EMPLOYMENT'!$A$1506:$BW$1841,62,FALSE)</f>
        <v>57.4</v>
      </c>
      <c r="X76" s="77">
        <f>VLOOKUP($F76,'SKILLED EMPLOYMENT'!$A$1506:$BW$1841,66,FALSE)</f>
        <v>62</v>
      </c>
      <c r="Y76" s="77">
        <f>VLOOKUP($F76,'SKILLED EMPLOYMENT'!$A$1506:$BW$1841,70,FALSE)</f>
        <v>62.199999999999996</v>
      </c>
      <c r="Z76" s="77">
        <f>VLOOKUP($F76,'SKILLED EMPLOYMENT'!$A$1506:$BW$1841,74,FALSE)</f>
        <v>69.900000000000006</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Chichester to Rural as a Region</v>
      </c>
      <c r="G79" s="122"/>
      <c r="H79" s="123"/>
      <c r="I79" s="74">
        <f>(I76-I77)</f>
        <v>1.7999999999999972</v>
      </c>
      <c r="J79" s="74">
        <f t="shared" ref="J79:Z79" si="17">(J76-J77)</f>
        <v>3.1000000000000014</v>
      </c>
      <c r="K79" s="74">
        <f t="shared" si="17"/>
        <v>12.599999999999994</v>
      </c>
      <c r="L79" s="74">
        <f t="shared" si="17"/>
        <v>9.6999999999999886</v>
      </c>
      <c r="M79" s="74">
        <f t="shared" si="17"/>
        <v>9</v>
      </c>
      <c r="N79" s="74">
        <f t="shared" si="17"/>
        <v>8.2000000000000028</v>
      </c>
      <c r="O79" s="74">
        <f t="shared" si="17"/>
        <v>9.0000000000000071</v>
      </c>
      <c r="P79" s="74">
        <f t="shared" si="17"/>
        <v>10.699999999999996</v>
      </c>
      <c r="Q79" s="74">
        <f t="shared" si="17"/>
        <v>6.5999999999999943</v>
      </c>
      <c r="R79" s="74">
        <f t="shared" si="17"/>
        <v>3.2999999999999901</v>
      </c>
      <c r="S79" s="74">
        <f t="shared" si="17"/>
        <v>4.2999999999999972</v>
      </c>
      <c r="T79" s="74">
        <f t="shared" si="17"/>
        <v>4.0000000000000071</v>
      </c>
      <c r="U79" s="74">
        <f t="shared" si="17"/>
        <v>10.999999999999993</v>
      </c>
      <c r="V79" s="74">
        <f t="shared" si="17"/>
        <v>5.8999999999999986</v>
      </c>
      <c r="W79" s="74">
        <f t="shared" si="17"/>
        <v>-0.39999999999999858</v>
      </c>
      <c r="X79" s="74">
        <f t="shared" si="17"/>
        <v>3.2000000000000028</v>
      </c>
      <c r="Y79" s="74">
        <f t="shared" si="17"/>
        <v>3.4999999999999929</v>
      </c>
      <c r="Z79" s="74">
        <f t="shared" si="17"/>
        <v>11.500000000000007</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83sROKQwF6IPmgrDGPLYlfMYoUbmz4sPRGyNgZjCCyqiyGXrd8+BVdxw/rhtAcQpvUQW58own/Vknae67ELH2w==" saltValue="zabZ0fLBLSFePQYc85jLYA=="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2022-08-02T10:58:21Z</dcterms:modified>
</cp:coreProperties>
</file>