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15E93C72-7F02-4259-B3BF-9C7643D3FD0D}" xr6:coauthVersionLast="47" xr6:coauthVersionMax="47" xr10:uidLastSave="{26CA59BC-C83C-4C40-AED4-2B61646E520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<sst xmlns="http://schemas.openxmlformats.org/spreadsheetml/2006/main" count="32859" uniqueCount="1676">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</sst>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Copeland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23.65</c:v>
                </c:pt>
                <c:pt idx="1">
                  <c:v>23.28</c:v>
                </c:pt>
                <c:pt idx="2">
                  <c:v>25.75</c:v>
                </c:pt>
                <c:pt idx="3">
                  <c:v>26.62</c:v>
                </c:pt>
                <c:pt idx="4">
                  <c:v>26.93</c:v>
                </c:pt>
                <c:pt idx="5">
                  <c:v>26.47</c:v>
                </c:pt>
                <c:pt idx="6">
                  <c:v>26.22</c:v>
                </c:pt>
                <c:pt idx="7">
                  <c:v>26.34</c:v>
                </c:pt>
                <c:pt idx="8">
                  <c:v>26.74</c:v>
                </c:pt>
                <c:pt idx="9">
                  <c:v>27.28</c:v>
                </c:pt>
                <c:pt idx="10">
                  <c:v>27.58</c:v>
                </c:pt>
                <c:pt idx="11">
                  <c:v>27.31</c:v>
                </c:pt>
                <c:pt idx="12">
                  <c:v>26.52</c:v>
                </c:pt>
                <c:pt idx="13">
                  <c:v>25.66</c:v>
                </c:pt>
                <c:pt idx="14">
                  <c:v>25.4</c:v>
                </c:pt>
                <c:pt idx="15">
                  <c:v>25.45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Copeland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636.1</c:v>
                </c:pt>
                <c:pt idx="1">
                  <c:v>673.2</c:v>
                </c:pt>
                <c:pt idx="2">
                  <c:v>698.9</c:v>
                </c:pt>
                <c:pt idx="3">
                  <c:v>739.2</c:v>
                </c:pt>
                <c:pt idx="4">
                  <c:v>764.1</c:v>
                </c:pt>
                <c:pt idx="5">
                  <c:v>758</c:v>
                </c:pt>
                <c:pt idx="6">
                  <c:v>804.4</c:v>
                </c:pt>
                <c:pt idx="7">
                  <c:v>805.9</c:v>
                </c:pt>
                <c:pt idx="8">
                  <c:v>761</c:v>
                </c:pt>
                <c:pt idx="9">
                  <c:v>827.7</c:v>
                </c:pt>
                <c:pt idx="10">
                  <c:v>890.5</c:v>
                </c:pt>
                <c:pt idx="11">
                  <c:v>860.9</c:v>
                </c:pt>
                <c:pt idx="12">
                  <c:v>954.8</c:v>
                </c:pt>
                <c:pt idx="13">
                  <c:v>943.3</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Copeland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70.599999999999994</c:v>
                </c:pt>
                <c:pt idx="1">
                  <c:v>68.2</c:v>
                </c:pt>
                <c:pt idx="2">
                  <c:v>75.3</c:v>
                </c:pt>
                <c:pt idx="3">
                  <c:v>66.099999999999994</c:v>
                </c:pt>
                <c:pt idx="4">
                  <c:v>68.400000000000006</c:v>
                </c:pt>
                <c:pt idx="5">
                  <c:v>70.8</c:v>
                </c:pt>
                <c:pt idx="6">
                  <c:v>68.400000000000006</c:v>
                </c:pt>
                <c:pt idx="7">
                  <c:v>68.8</c:v>
                </c:pt>
                <c:pt idx="8">
                  <c:v>72.400000000000006</c:v>
                </c:pt>
                <c:pt idx="9">
                  <c:v>74.599999999999994</c:v>
                </c:pt>
                <c:pt idx="10">
                  <c:v>72.7</c:v>
                </c:pt>
                <c:pt idx="11">
                  <c:v>72.599999999999994</c:v>
                </c:pt>
                <c:pt idx="12">
                  <c:v>68.8</c:v>
                </c:pt>
                <c:pt idx="13">
                  <c:v>73</c:v>
                </c:pt>
                <c:pt idx="14">
                  <c:v>75.5</c:v>
                </c:pt>
                <c:pt idx="15">
                  <c:v>70.7</c:v>
                </c:pt>
                <c:pt idx="16">
                  <c:v>71.7</c:v>
                </c:pt>
                <c:pt idx="17">
                  <c:v>70.7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Copeland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12080</c:v>
                </c:pt>
                <c:pt idx="1">
                  <c:v>12311</c:v>
                </c:pt>
                <c:pt idx="2">
                  <c:v>12876</c:v>
                </c:pt>
                <c:pt idx="3">
                  <c:v>13733</c:v>
                </c:pt>
                <c:pt idx="4">
                  <c:v>13965</c:v>
                </c:pt>
                <c:pt idx="5">
                  <c:v>14455</c:v>
                </c:pt>
                <c:pt idx="6">
                  <c:v>14942</c:v>
                </c:pt>
                <c:pt idx="7">
                  <c:v>15193</c:v>
                </c:pt>
                <c:pt idx="8">
                  <c:v>16018</c:v>
                </c:pt>
                <c:pt idx="9">
                  <c:v>16338</c:v>
                </c:pt>
                <c:pt idx="10">
                  <c:v>16750</c:v>
                </c:pt>
                <c:pt idx="11">
                  <c:v>17695</c:v>
                </c:pt>
                <c:pt idx="12">
                  <c:v>17891</c:v>
                </c:pt>
                <c:pt idx="13">
                  <c:v>18224</c:v>
                </c:pt>
                <c:pt idx="14">
                  <c:v>18716</c:v>
                </c:pt>
                <c:pt idx="15">
                  <c:v>18788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Copeland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15.1</c:v>
                </c:pt>
                <c:pt idx="1">
                  <c:v>14.9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Copeland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25.2</c:v>
                </c:pt>
                <c:pt idx="1">
                  <c:v>26.5</c:v>
                </c:pt>
                <c:pt idx="2">
                  <c:v>21.6</c:v>
                </c:pt>
                <c:pt idx="3">
                  <c:v>29.4</c:v>
                </c:pt>
                <c:pt idx="4">
                  <c:v>29.7</c:v>
                </c:pt>
                <c:pt idx="5">
                  <c:v>22.1</c:v>
                </c:pt>
                <c:pt idx="6">
                  <c:v>26</c:v>
                </c:pt>
                <c:pt idx="7">
                  <c:v>25.3</c:v>
                </c:pt>
                <c:pt idx="8">
                  <c:v>23.7</c:v>
                </c:pt>
                <c:pt idx="9">
                  <c:v>21.7</c:v>
                </c:pt>
                <c:pt idx="10">
                  <c:v>24.2</c:v>
                </c:pt>
                <c:pt idx="11">
                  <c:v>20.100000000000001</c:v>
                </c:pt>
                <c:pt idx="12">
                  <c:v>24.7</c:v>
                </c:pt>
                <c:pt idx="13">
                  <c:v>22.9</c:v>
                </c:pt>
                <c:pt idx="14">
                  <c:v>21.7</c:v>
                </c:pt>
                <c:pt idx="15">
                  <c:v>26.1</c:v>
                </c:pt>
                <c:pt idx="16">
                  <c:v>25.1</c:v>
                </c:pt>
                <c:pt idx="17">
                  <c:v>27.3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Copeland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47.599999999999994</c:v>
                </c:pt>
                <c:pt idx="1">
                  <c:v>23.300000000000004</c:v>
                </c:pt>
                <c:pt idx="2">
                  <c:v>29.399999999999991</c:v>
                </c:pt>
                <c:pt idx="3">
                  <c:v>30.200000000000003</c:v>
                </c:pt>
                <c:pt idx="4">
                  <c:v>11.200000000000003</c:v>
                </c:pt>
                <c:pt idx="5">
                  <c:v>18.599999999999994</c:v>
                </c:pt>
                <c:pt idx="6">
                  <c:v>24.5</c:v>
                </c:pt>
                <c:pt idx="7">
                  <c:v>45.300000000000004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Copeland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24.018471463213711</c:v>
                </c:pt>
                <c:pt idx="1">
                  <c:v>38.623462876479216</c:v>
                </c:pt>
                <c:pt idx="2">
                  <c:v>11.258109941112703</c:v>
                </c:pt>
                <c:pt idx="3">
                  <c:v>10.536400720420424</c:v>
                </c:pt>
                <c:pt idx="4">
                  <c:v>13.847524513676927</c:v>
                </c:pt>
                <c:pt idx="5">
                  <c:v>24.313235818765609</c:v>
                </c:pt>
                <c:pt idx="6">
                  <c:v>16.722810394610203</c:v>
                </c:pt>
                <c:pt idx="7">
                  <c:v>12.745812090313184</c:v>
                </c:pt>
                <c:pt idx="8">
                  <c:v>23.281267814388325</c:v>
                </c:pt>
                <c:pt idx="9">
                  <c:v>5.6758164100275241</c:v>
                </c:pt>
                <c:pt idx="10">
                  <c:v>19.882460061253209</c:v>
                </c:pt>
                <c:pt idx="11">
                  <c:v>0</c:v>
                </c:pt>
                <c:pt idx="12">
                  <c:v>11.674501902843071</c:v>
                </c:pt>
                <c:pt idx="13">
                  <c:v>15.584079944865609</c:v>
                </c:pt>
                <c:pt idx="14">
                  <c:v>11.989498249708284</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Copeland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49.500000000000007</c:v>
                </c:pt>
                <c:pt idx="1">
                  <c:v>50</c:v>
                </c:pt>
                <c:pt idx="2">
                  <c:v>45.8</c:v>
                </c:pt>
                <c:pt idx="3">
                  <c:v>47.099999999999994</c:v>
                </c:pt>
                <c:pt idx="4">
                  <c:v>50.1</c:v>
                </c:pt>
                <c:pt idx="5">
                  <c:v>47.900000000000006</c:v>
                </c:pt>
                <c:pt idx="6">
                  <c:v>49.800000000000004</c:v>
                </c:pt>
                <c:pt idx="7">
                  <c:v>55.6</c:v>
                </c:pt>
                <c:pt idx="8">
                  <c:v>57.699999999999996</c:v>
                </c:pt>
                <c:pt idx="9">
                  <c:v>48.9</c:v>
                </c:pt>
                <c:pt idx="10">
                  <c:v>59.1</c:v>
                </c:pt>
                <c:pt idx="11">
                  <c:v>57.9</c:v>
                </c:pt>
                <c:pt idx="12">
                  <c:v>59.8</c:v>
                </c:pt>
                <c:pt idx="13">
                  <c:v>55.199999999999996</c:v>
                </c:pt>
                <c:pt idx="14">
                  <c:v>57.900000000000006</c:v>
                </c:pt>
                <c:pt idx="15">
                  <c:v>53.400000000000006</c:v>
                </c:pt>
                <c:pt idx="16">
                  <c:v>53.800000000000004</c:v>
                </c:pt>
                <c:pt idx="17">
                  <c:v>56.199999999999996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Copeland has fluctuated over the years taking it at times above and below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per head increasing over the years within Copeland, it is below that seen in England overall and 'Rural as a Region', with no reduction in the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Copeland in both 2017 and 2018 is markedly below that of either 'Rural as a Region' or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Copeland's economic inactivity rate has been in general greater than that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Copeland has in some years been markedly different to the rural and England situations, but in other years has been similar.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Copeland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Copeland in general has a lower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0" name="TextBox 19">
          <a:extLst>
            <a:ext uri="{FF2B5EF4-FFF2-40B4-BE49-F238E27FC236}">
              <a16:creationId xmlns:a16="http://schemas.microsoft.com/office/drawing/2014/main" id="{22411C45-F479-4BA1-81A9-DDEF6348FC9B}"/>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Copeland is significantly greater than the England or rural situations with an overall widening gap from 2008 to 2021.</a:t>
          </a:r>
          <a:endParaRPr lang="en-GB" sz="1100">
            <a:latin typeface="Avenir Next LT Pro" panose="020B0504020202020204" pitchFamily="34" charset="0"/>
          </a:endParaRPr>
        </a:p>
      </xdr:txBody>
    </xdr:sp>
    <xdr:clientData/>
  </xdr:twoCellAnchor>
  <xdr:twoCellAnchor>
    <xdr:from>
      <xdr:col>0</xdr:col>
      <xdr:colOff>571500</xdr:colOff>
      <xdr:row>12</xdr:row>
      <xdr:rowOff>533400</xdr:rowOff>
    </xdr:from>
    <xdr:to>
      <xdr:col>1</xdr:col>
      <xdr:colOff>2552700</xdr:colOff>
      <xdr:row>14</xdr:row>
      <xdr:rowOff>274320</xdr:rowOff>
    </xdr:to>
    <xdr:sp macro="" textlink="">
      <xdr:nvSpPr>
        <xdr:cNvPr id="21" name="TextBox 20">
          <a:extLst>
            <a:ext uri="{FF2B5EF4-FFF2-40B4-BE49-F238E27FC236}">
              <a16:creationId xmlns:a16="http://schemas.microsoft.com/office/drawing/2014/main" id="{474779D4-9405-4E1C-8DCB-59B38418CDC7}"/>
            </a:ext>
          </a:extLst>
        </xdr:cNvPr>
        <xdr:cNvSpPr txBox="1"/>
      </xdr:nvSpPr>
      <xdr:spPr>
        <a:xfrm>
          <a:off x="571500" y="3520440"/>
          <a:ext cx="6682740" cy="10363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Copeland roughly follows a similar path to the rural situation from 2004 to 2014, however from 2015 to 2019 it drops below 'Rural as a Region' taking the gap to 17%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273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Copeland</v>
      </c>
      <c r="G12" s="88" t="str">
        <f>IFERROR(VLOOKUP(F12,GVA!B244:B552,1,FALSE),VLOOKUP(F12,GVA!B6:C230,2,FALSE))</f>
        <v>Copeland</v>
      </c>
      <c r="H12" s="89" t="str">
        <f>IF(F12=G12,"",G12)</f>
        <v/>
      </c>
      <c r="I12" s="76">
        <f>IFERROR(VLOOKUP($F12,GVA!$B$7:$S$230,GVA!D$3,FALSE),VLOOKUP($F12,GVA!$B$244:$T$554,GVA!E$3,FALSE))</f>
        <v>23.65</v>
      </c>
      <c r="J12" s="77">
        <f>IFERROR(VLOOKUP($F12,GVA!$B$7:$S$230,GVA!E$3,FALSE),VLOOKUP($F12,GVA!$B$244:$T$554,GVA!F$3,FALSE))</f>
        <v>23.28</v>
      </c>
      <c r="K12" s="77">
        <f>IFERROR(VLOOKUP($F12,GVA!$B$7:$S$230,GVA!F$3,FALSE),VLOOKUP($F12,GVA!$B$244:$T$554,GVA!G$3,FALSE))</f>
        <v>25.75</v>
      </c>
      <c r="L12" s="77">
        <f>IFERROR(VLOOKUP($F12,GVA!$B$7:$S$230,GVA!G$3,FALSE),VLOOKUP($F12,GVA!$B$244:$T$554,GVA!H$3,FALSE))</f>
        <v>26.62</v>
      </c>
      <c r="M12" s="77">
        <f>IFERROR(VLOOKUP($F12,GVA!$B$7:$S$230,GVA!H$3,FALSE),VLOOKUP($F12,GVA!$B$244:$T$554,GVA!I$3,FALSE))</f>
        <v>26.93</v>
      </c>
      <c r="N12" s="77">
        <f>IFERROR(VLOOKUP($F12,GVA!$B$7:$S$230,GVA!I$3,FALSE),VLOOKUP($F12,GVA!$B$244:$T$554,GVA!J$3,FALSE))</f>
        <v>26.47</v>
      </c>
      <c r="O12" s="77">
        <f>IFERROR(VLOOKUP($F12,GVA!$B$7:$S$230,GVA!J$3,FALSE),VLOOKUP($F12,GVA!$B$244:$T$554,GVA!K$3,FALSE))</f>
        <v>26.22</v>
      </c>
      <c r="P12" s="77">
        <f>IFERROR(VLOOKUP($F12,GVA!$B$7:$S$230,GVA!K$3,FALSE),VLOOKUP($F12,GVA!$B$244:$T$554,GVA!L$3,FALSE))</f>
        <v>26.34</v>
      </c>
      <c r="Q12" s="77">
        <f>IFERROR(VLOOKUP($F12,GVA!$B$7:$S$230,GVA!L$3,FALSE),VLOOKUP($F12,GVA!$B$244:$T$554,GVA!M$3,FALSE))</f>
        <v>26.74</v>
      </c>
      <c r="R12" s="77">
        <f>IFERROR(VLOOKUP($F12,GVA!$B$7:$S$230,GVA!M$3,FALSE),VLOOKUP($F12,GVA!$B$244:$T$554,GVA!N$3,FALSE))</f>
        <v>27.28</v>
      </c>
      <c r="S12" s="77">
        <f>IFERROR(VLOOKUP($F12,GVA!$B$7:$S$230,GVA!N$3,FALSE),VLOOKUP($F12,GVA!$B$244:$T$554,GVA!O$3,FALSE))</f>
        <v>27.58</v>
      </c>
      <c r="T12" s="77">
        <f>IFERROR(VLOOKUP($F12,GVA!$B$7:$S$230,GVA!O$3,FALSE),VLOOKUP($F12,GVA!$B$244:$T$554,GVA!P$3,FALSE))</f>
        <v>27.31</v>
      </c>
      <c r="U12" s="77">
        <f>IFERROR(VLOOKUP($F12,GVA!$B$7:$S$230,GVA!P$3,FALSE),VLOOKUP($F12,GVA!$B$244:$T$554,GVA!Q$3,FALSE))</f>
        <v>26.52</v>
      </c>
      <c r="V12" s="77">
        <f>IFERROR(VLOOKUP($F12,GVA!$B$7:$S$230,GVA!Q$3,FALSE),VLOOKUP($F12,GVA!$B$244:$T$554,GVA!R$3,FALSE))</f>
        <v>25.66</v>
      </c>
      <c r="W12" s="77">
        <f>IFERROR(VLOOKUP($F12,GVA!$B$7:$S$230,GVA!R$3,FALSE),VLOOKUP($F12,GVA!$B$244:$T$554,GVA!S$3,FALSE))</f>
        <v>25.4</v>
      </c>
      <c r="X12" s="77">
        <f>IFERROR(VLOOKUP($F12,GVA!$B$7:$S$230,GVA!S$3,FALSE),VLOOKUP($F12,GVA!$B$244:$T$554,GVA!T$3,FALSE))</f>
        <v>25.45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Copeland to Rural as a Region</v>
      </c>
      <c r="G15" s="122"/>
      <c r="H15" s="123"/>
      <c r="I15" s="74">
        <f>100*((I12-I13)/I13)</f>
        <v>0.46678163419091101</v>
      </c>
      <c r="J15" s="74">
        <f t="shared" ref="J15:X15" si="0">100*((J12-J13)/J13)</f>
        <v>-0.82966509118201703</v>
      </c>
      <c r="K15" s="74">
        <f t="shared" si="0"/>
        <v>5.9499493027287746</v>
      </c>
      <c r="L15" s="74">
        <f t="shared" si="0"/>
        <v>7.1720250762063396</v>
      </c>
      <c r="M15" s="74">
        <f t="shared" si="0"/>
        <v>6.5916512347860667</v>
      </c>
      <c r="N15" s="74">
        <f t="shared" si="0"/>
        <v>3.9150165209303984</v>
      </c>
      <c r="O15" s="74">
        <f t="shared" si="0"/>
        <v>1.6668436139717846</v>
      </c>
      <c r="P15" s="74">
        <f t="shared" si="0"/>
        <v>0.63174555526751763</v>
      </c>
      <c r="Q15" s="74">
        <f t="shared" si="0"/>
        <v>0.10964032624680642</v>
      </c>
      <c r="R15" s="74">
        <f t="shared" si="0"/>
        <v>0.39034263408988573</v>
      </c>
      <c r="S15" s="74">
        <f t="shared" si="0"/>
        <v>-0.16160519205165061</v>
      </c>
      <c r="T15" s="74">
        <f t="shared" si="0"/>
        <v>-2.9774492057315798</v>
      </c>
      <c r="U15" s="74">
        <f t="shared" si="0"/>
        <v>-8.0348923135354084</v>
      </c>
      <c r="V15" s="74">
        <f t="shared" si="0"/>
        <v>-13.371782247854821</v>
      </c>
      <c r="W15" s="74">
        <f t="shared" si="0"/>
        <v>-15.989746780118782</v>
      </c>
      <c r="X15" s="74">
        <f t="shared" si="0"/>
        <v>-16.69751510924247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Copeland</v>
      </c>
      <c r="G20" s="88"/>
      <c r="H20" s="89"/>
      <c r="I20" s="80">
        <f>IF(VLOOKUP($F20,PAY!$A$11:$AE$349,4,FALSE)="-",#N/A,VLOOKUP($F20,PAY!$A$11:$AE$349,4,FALSE))</f>
        <v>636.1</v>
      </c>
      <c r="J20" s="80">
        <f>IF(VLOOKUP($F20,PAY!$A$11:$AE$349,6,FALSE)="-",#N/A,VLOOKUP($F20,PAY!$A$11:$AE$349,6,FALSE))</f>
        <v>673.2</v>
      </c>
      <c r="K20" s="80">
        <f>IF(VLOOKUP($F20,PAY!$A$11:$AE$349,8,FALSE)="-",#N/A,VLOOKUP($F20,PAY!$A$11:$AE$349,8,FALSE))</f>
        <v>698.9</v>
      </c>
      <c r="L20" s="80">
        <f>IF(VLOOKUP($F20,PAY!$A$11:$AE$349,10,FALSE)="-",#N/A,VLOOKUP($F20,PAY!$A$11:$AE$349,10,FALSE))</f>
        <v>739.2</v>
      </c>
      <c r="M20" s="80">
        <f>IF(VLOOKUP($F20,PAY!$A$11:$AE$349,12,FALSE)="-",#N/A,VLOOKUP($F20,PAY!$A$11:$AE$349,12,FALSE))</f>
        <v>764.1</v>
      </c>
      <c r="N20" s="80">
        <f>IF(VLOOKUP($F20,PAY!$A$11:$AE$349,14,FALSE)="-",#N/A,VLOOKUP($F20,PAY!$A$11:$AE$349,14,FALSE))</f>
        <v>758</v>
      </c>
      <c r="O20" s="80">
        <f>IF(VLOOKUP($F20,PAY!$A$11:$AE$349,16,FALSE)="-",#N/A,VLOOKUP($F20,PAY!$A$11:$AE$349,16,FALSE))</f>
        <v>804.4</v>
      </c>
      <c r="P20" s="80">
        <f>IF(VLOOKUP($F20,PAY!$A$11:$AE$349,18,FALSE)="-",#N/A,VLOOKUP($F20,PAY!$A$11:$AE$349,18,FALSE))</f>
        <v>805.9</v>
      </c>
      <c r="Q20" s="80">
        <f>IF(VLOOKUP($F20,PAY!$A$11:$AE$349,20,FALSE)="-",#N/A,VLOOKUP($F20,PAY!$A$11:$AE$349,20,FALSE))</f>
        <v>761</v>
      </c>
      <c r="R20" s="80">
        <f>IF(VLOOKUP($F20,PAY!$A$11:$AE$349,22,FALSE)="-",#N/A,VLOOKUP($F20,PAY!$A$11:$AE$349,22,FALSE))</f>
        <v>827.7</v>
      </c>
      <c r="S20" s="80">
        <f>IF(VLOOKUP($F20,PAY!$A$11:$AE$349,24,FALSE)="-",#N/A,VLOOKUP($F20,PAY!$A$11:$AE$349,24,FALSE))</f>
        <v>890.5</v>
      </c>
      <c r="T20" s="80">
        <f>IF(VLOOKUP($F20,PAY!$A$11:$AE$349,26,FALSE)="-",#N/A,VLOOKUP($F20,PAY!$A$11:$AE$349,26,FALSE))</f>
        <v>860.9</v>
      </c>
      <c r="U20" s="80">
        <f>IF(VLOOKUP($F20,PAY!$A$11:$AE$349,28,FALSE)="-",#N/A,VLOOKUP($F20,PAY!$A$11:$AE$349,28,FALSE))</f>
        <v>954.8</v>
      </c>
      <c r="V20" s="80">
        <f>IF(VLOOKUP($F20,PAY!$A$11:$AE$349,30,FALSE)="-",#N/A,VLOOKUP($F20,PAY!$A$11:$AE$349,30,FALSE))</f>
        <v>943.3</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Copeland to Rural as a Region</v>
      </c>
      <c r="G23" s="122"/>
      <c r="H23" s="123"/>
      <c r="I23" s="74">
        <f>100*((I20-I21)/I21)</f>
        <v>46.907888582253619</v>
      </c>
      <c r="J23" s="74">
        <f t="shared" ref="J23:V23" si="2">100*((J20-J21)/J21)</f>
        <v>54.076786633861651</v>
      </c>
      <c r="K23" s="74">
        <f t="shared" si="2"/>
        <v>55.965243821484719</v>
      </c>
      <c r="L23" s="74">
        <f t="shared" si="2"/>
        <v>64.028582985034419</v>
      </c>
      <c r="M23" s="74">
        <f t="shared" si="2"/>
        <v>67.844411942987733</v>
      </c>
      <c r="N23" s="74">
        <f t="shared" si="2"/>
        <v>63.654053226785024</v>
      </c>
      <c r="O23" s="74">
        <f t="shared" si="2"/>
        <v>70.857195093753191</v>
      </c>
      <c r="P23" s="74">
        <f t="shared" si="2"/>
        <v>69.726932704893755</v>
      </c>
      <c r="Q23" s="74">
        <f t="shared" si="2"/>
        <v>55.470388501413261</v>
      </c>
      <c r="R23" s="74">
        <f t="shared" si="2"/>
        <v>64.20763174746682</v>
      </c>
      <c r="S23" s="74">
        <f t="shared" si="2"/>
        <v>73.10568974631903</v>
      </c>
      <c r="T23" s="74">
        <f t="shared" si="2"/>
        <v>61.308210668135906</v>
      </c>
      <c r="U23" s="74">
        <f t="shared" si="2"/>
        <v>79.795358123284316</v>
      </c>
      <c r="V23" s="74">
        <f t="shared" si="2"/>
        <v>67.176420096043117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Copeland</v>
      </c>
      <c r="G28" s="88"/>
      <c r="H28" s="89"/>
      <c r="I28" s="76">
        <f>VLOOKUP($F28,EMPLOYMENT!$A$6:$BW$345,6,FALSE)</f>
        <v>70.599999999999994</v>
      </c>
      <c r="J28" s="77">
        <f>VLOOKUP($F28,EMPLOYMENT!$A$6:$BW$345,10,FALSE)</f>
        <v>68.2</v>
      </c>
      <c r="K28" s="77">
        <f>VLOOKUP($F28,EMPLOYMENT!$A$6:$BW$345,14,FALSE)</f>
        <v>75.3</v>
      </c>
      <c r="L28" s="77">
        <f>VLOOKUP($F28,EMPLOYMENT!$A$6:$BW$345,18,FALSE)</f>
        <v>66.099999999999994</v>
      </c>
      <c r="M28" s="77">
        <f>VLOOKUP($F28,EMPLOYMENT!$A$6:$BW$345,22,FALSE)</f>
        <v>68.400000000000006</v>
      </c>
      <c r="N28" s="77">
        <f>VLOOKUP($F28,EMPLOYMENT!$A$6:$BW$345,26,FALSE)</f>
        <v>70.8</v>
      </c>
      <c r="O28" s="77">
        <f>VLOOKUP($F28,EMPLOYMENT!$A$6:$BW$345,30,FALSE)</f>
        <v>68.400000000000006</v>
      </c>
      <c r="P28" s="77">
        <f>VLOOKUP($F28,EMPLOYMENT!$A$6:$BW$345,34,FALSE)</f>
        <v>68.8</v>
      </c>
      <c r="Q28" s="77">
        <f>VLOOKUP($F28,EMPLOYMENT!$A$6:$BW$345,38,FALSE)</f>
        <v>72.400000000000006</v>
      </c>
      <c r="R28" s="77">
        <f>VLOOKUP($F28,EMPLOYMENT!$A$6:$BW$345,42,FALSE)</f>
        <v>74.599999999999994</v>
      </c>
      <c r="S28" s="77">
        <f>VLOOKUP($F28,EMPLOYMENT!$A$6:$BW$345,46,FALSE)</f>
        <v>72.7</v>
      </c>
      <c r="T28" s="77">
        <f>VLOOKUP($F28,EMPLOYMENT!$A$6:$BW$345,50,FALSE)</f>
        <v>72.599999999999994</v>
      </c>
      <c r="U28" s="77">
        <f>VLOOKUP($F28,EMPLOYMENT!$A$6:$BW$345,54,FALSE)</f>
        <v>68.8</v>
      </c>
      <c r="V28" s="77">
        <f>VLOOKUP($F28,EMPLOYMENT!$A$6:$BW$345,58,FALSE)</f>
        <v>73</v>
      </c>
      <c r="W28" s="77">
        <f>VLOOKUP($F28,EMPLOYMENT!$A$6:$BW$345,62,FALSE)</f>
        <v>75.5</v>
      </c>
      <c r="X28" s="77">
        <f>VLOOKUP($F28,EMPLOYMENT!$A$6:$BW$345,66,FALSE)</f>
        <v>70.7</v>
      </c>
      <c r="Y28" s="77">
        <f>VLOOKUP($F28,EMPLOYMENT!$A$6:$BW$345,70,FALSE)</f>
        <v>71.7</v>
      </c>
      <c r="Z28" s="77">
        <f>VLOOKUP($F28,EMPLOYMENT!$A$6:$BW$345,74,FALSE)</f>
        <v>70.7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Copeland to Rural as a Region</v>
      </c>
      <c r="G31" s="122"/>
      <c r="H31" s="123"/>
      <c r="I31" s="74">
        <f>(I28-I29)</f>
        <v>-5.5113419194017439</v>
      </c>
      <c r="J31" s="74">
        <f t="shared" ref="J31:Z31" si="4">(J28-J29)</f>
        <v>-8.1129754666829541</v>
      </c>
      <c r="K31" s="74">
        <f t="shared" si="4"/>
        <v>-0.57318889948676599</v>
      </c>
      <c r="L31" s="74">
        <f t="shared" si="4"/>
        <v>-9.5404683026278434</v>
      </c>
      <c r="M31" s="74">
        <f t="shared" si="4"/>
        <v>-7.3355243733317366</v>
      </c>
      <c r="N31" s="74">
        <f t="shared" si="4"/>
        <v>-3.7095398428731841</v>
      </c>
      <c r="O31" s="74">
        <f t="shared" si="4"/>
        <v>-5.1471331389698634</v>
      </c>
      <c r="P31" s="74">
        <f t="shared" si="4"/>
        <v>-4.9342954032776163</v>
      </c>
      <c r="Q31" s="74">
        <f t="shared" si="4"/>
        <v>-1.6331574754625677</v>
      </c>
      <c r="R31" s="74">
        <f t="shared" si="4"/>
        <v>-0.1444749299002126</v>
      </c>
      <c r="S31" s="74">
        <f t="shared" si="4"/>
        <v>-3.4088603400756057</v>
      </c>
      <c r="T31" s="74">
        <f t="shared" si="4"/>
        <v>-4.590531975609025</v>
      </c>
      <c r="U31" s="74">
        <f t="shared" si="4"/>
        <v>-8.1716324817080448</v>
      </c>
      <c r="V31" s="74">
        <f t="shared" si="4"/>
        <v>-5.0327868852458977</v>
      </c>
      <c r="W31" s="74">
        <f t="shared" si="4"/>
        <v>-2.548156893414145</v>
      </c>
      <c r="X31" s="74">
        <f t="shared" si="4"/>
        <v>-7.8912993789567025</v>
      </c>
      <c r="Y31" s="74">
        <f t="shared" si="4"/>
        <v>-5.3143462961292016</v>
      </c>
      <c r="Z31" s="74">
        <f t="shared" si="4"/>
        <v>-5.4557580778790395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Copeland</v>
      </c>
      <c r="G36" s="88" t="str">
        <f>IFERROR(VLOOKUP(F36,GDHI!B338:C574,2,FALSE),VLOOKUP(F36,GDHI!C3:C336,1,FALSE))</f>
        <v>Copeland</v>
      </c>
      <c r="H36" s="89" t="str">
        <f>IF(F36=G36,"",G36)</f>
        <v/>
      </c>
      <c r="I36" s="83">
        <f>IFERROR(VLOOKUP($F36,GDHI!$B$338:$U$574,GDHI!G$578,FALSE),VLOOKUP($F36,GDHI!$C$3:$U$336,GDHI!F$578,FALSE))</f>
        <v>12080</v>
      </c>
      <c r="J36" s="84">
        <f>IFERROR(VLOOKUP($F36,GDHI!$B$338:$U$574,GDHI!H$578,FALSE),VLOOKUP($F36,GDHI!$C$3:$U$336,GDHI!G$578,FALSE))</f>
        <v>12311</v>
      </c>
      <c r="K36" s="84">
        <f>IFERROR(VLOOKUP($F36,GDHI!$B$338:$U$574,GDHI!I$578,FALSE),VLOOKUP($F36,GDHI!$C$3:$U$336,GDHI!H$578,FALSE))</f>
        <v>12876</v>
      </c>
      <c r="L36" s="84">
        <f>IFERROR(VLOOKUP($F36,GDHI!$B$338:$U$574,GDHI!J$578,FALSE),VLOOKUP($F36,GDHI!$C$3:$U$336,GDHI!I$578,FALSE))</f>
        <v>13733</v>
      </c>
      <c r="M36" s="84">
        <f>IFERROR(VLOOKUP($F36,GDHI!$B$338:$U$574,GDHI!K$578,FALSE),VLOOKUP($F36,GDHI!$C$3:$U$336,GDHI!J$578,FALSE))</f>
        <v>13965</v>
      </c>
      <c r="N36" s="84">
        <f>IFERROR(VLOOKUP($F36,GDHI!$B$338:$U$574,GDHI!L$578,FALSE),VLOOKUP($F36,GDHI!$C$3:$U$336,GDHI!K$578,FALSE))</f>
        <v>14455</v>
      </c>
      <c r="O36" s="84">
        <f>IFERROR(VLOOKUP($F36,GDHI!$B$338:$U$574,GDHI!M$578,FALSE),VLOOKUP($F36,GDHI!$C$3:$U$336,GDHI!L$578,FALSE))</f>
        <v>14942</v>
      </c>
      <c r="P36" s="84">
        <f>IFERROR(VLOOKUP($F36,GDHI!$B$338:$U$574,GDHI!N$578,FALSE),VLOOKUP($F36,GDHI!$C$3:$U$336,GDHI!M$578,FALSE))</f>
        <v>15193</v>
      </c>
      <c r="Q36" s="84">
        <f>IFERROR(VLOOKUP($F36,GDHI!$B$338:$U$574,GDHI!O$578,FALSE),VLOOKUP($F36,GDHI!$C$3:$U$336,GDHI!N$578,FALSE))</f>
        <v>16018</v>
      </c>
      <c r="R36" s="84">
        <f>IFERROR(VLOOKUP($F36,GDHI!$B$338:$U$574,GDHI!P$578,FALSE),VLOOKUP($F36,GDHI!$C$3:$U$336,GDHI!O$578,FALSE))</f>
        <v>16338</v>
      </c>
      <c r="S36" s="84">
        <f>IFERROR(VLOOKUP($F36,GDHI!$B$338:$U$574,GDHI!Q$578,FALSE),VLOOKUP($F36,GDHI!$C$3:$U$336,GDHI!P$578,FALSE))</f>
        <v>16750</v>
      </c>
      <c r="T36" s="84">
        <f>IFERROR(VLOOKUP($F36,GDHI!$B$338:$U$574,GDHI!R$578,FALSE),VLOOKUP($F36,GDHI!$C$3:$U$336,GDHI!Q$578,FALSE))</f>
        <v>17695</v>
      </c>
      <c r="U36" s="84">
        <f>IFERROR(VLOOKUP($F36,GDHI!$B$338:$U$574,GDHI!S$578,FALSE),VLOOKUP($F36,GDHI!$C$3:$U$336,GDHI!R$578,FALSE))</f>
        <v>17891</v>
      </c>
      <c r="V36" s="84">
        <f>IFERROR(VLOOKUP($F36,GDHI!$B$338:$U$574,GDHI!T$578,FALSE),VLOOKUP($F36,GDHI!$C$3:$U$336,GDHI!S$578,FALSE))</f>
        <v>18224</v>
      </c>
      <c r="W36" s="84">
        <f>IFERROR(VLOOKUP($F36,GDHI!$B$338:$U$574,GDHI!U$578,FALSE),VLOOKUP($F36,GDHI!$C$3:$U$336,GDHI!T$578,FALSE))</f>
        <v>18716</v>
      </c>
      <c r="X36" s="84">
        <f>IFERROR(VLOOKUP($F36,GDHI!$B$338:$U$574,GDHI!V$578,FALSE),VLOOKUP($F36,GDHI!$C$3:$U$336,GDHI!U$578,FALSE))</f>
        <v>18788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Copeland to Rural as a Region</v>
      </c>
      <c r="G39" s="122"/>
      <c r="H39" s="123"/>
      <c r="I39" s="74">
        <f>100*((I36-I37)/I37)</f>
        <v>-17.876202454196267</v>
      </c>
      <c r="J39" s="74">
        <f t="shared" ref="J39:X39" si="6">100*((J36-J37)/J37)</f>
        <v>-19.753298139725818</v>
      </c>
      <c r="K39" s="74">
        <f t="shared" si="6"/>
        <v>-19.141826108994181</v>
      </c>
      <c r="L39" s="74">
        <f t="shared" si="6"/>
        <v>-17.112192261844463</v>
      </c>
      <c r="M39" s="74">
        <f t="shared" si="6"/>
        <v>-18.158014627547306</v>
      </c>
      <c r="N39" s="74">
        <f t="shared" si="6"/>
        <v>-16.410861865407327</v>
      </c>
      <c r="O39" s="74">
        <f t="shared" si="6"/>
        <v>-14.655750969799383</v>
      </c>
      <c r="P39" s="74">
        <f t="shared" si="6"/>
        <v>-14.646295756298134</v>
      </c>
      <c r="Q39" s="74">
        <f t="shared" si="6"/>
        <v>-12.786189033520131</v>
      </c>
      <c r="R39" s="74">
        <f t="shared" si="6"/>
        <v>-13.436200455276271</v>
      </c>
      <c r="S39" s="74">
        <f t="shared" si="6"/>
        <v>-13.642147051404097</v>
      </c>
      <c r="T39" s="74">
        <f t="shared" si="6"/>
        <v>-13.507228970347423</v>
      </c>
      <c r="U39" s="74">
        <f t="shared" si="6"/>
        <v>-13.255357023293621</v>
      </c>
      <c r="V39" s="74">
        <f t="shared" si="6"/>
        <v>-13.076194948500966</v>
      </c>
      <c r="W39" s="74">
        <f t="shared" si="6"/>
        <v>-14.311409164787184</v>
      </c>
      <c r="X39" s="74">
        <f t="shared" si="6"/>
        <v>-15.616934658132436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Copeland</v>
      </c>
      <c r="G44" s="88"/>
      <c r="H44" s="89"/>
      <c r="I44" s="76">
        <f>VLOOKUP($F44,'LOW PAID'!$A$9:$N$444,6,FALSE)</f>
        <v>15.1</v>
      </c>
      <c r="J44" s="77">
        <f>VLOOKUP($F44,'LOW PAID'!$P$9:$W$444,6,FALSE)</f>
        <v>14.9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Copeland to Rural as a Region</v>
      </c>
      <c r="G47" s="122"/>
      <c r="H47" s="123"/>
      <c r="I47" s="74">
        <f>(I44-I45)</f>
        <v>-10.093874678213117</v>
      </c>
      <c r="J47" s="74">
        <f>(J44-J45)</f>
        <v>-10.786116509030053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Copeland</v>
      </c>
      <c r="G52" s="88"/>
      <c r="H52" s="89"/>
      <c r="I52" s="76">
        <f>VLOOKUP($F52,INACTIVITY!$A$6:$BW$345,6,FALSE)</f>
        <v>25.2</v>
      </c>
      <c r="J52" s="77">
        <f>VLOOKUP($F52,INACTIVITY!$A$6:$BW$345,10,FALSE)</f>
        <v>26.5</v>
      </c>
      <c r="K52" s="77">
        <f>VLOOKUP($F52,INACTIVITY!$A$6:$BW$345,14,FALSE)</f>
        <v>21.6</v>
      </c>
      <c r="L52" s="77">
        <f>VLOOKUP($F52,INACTIVITY!$A$6:$BW$345,18,FALSE)</f>
        <v>29.4</v>
      </c>
      <c r="M52" s="77">
        <f>VLOOKUP($F52,INACTIVITY!$A$6:$BW$345,22,FALSE)</f>
        <v>29.7</v>
      </c>
      <c r="N52" s="77">
        <f>VLOOKUP($F52,INACTIVITY!$A$6:$BW$345,26,FALSE)</f>
        <v>22.1</v>
      </c>
      <c r="O52" s="77">
        <f>VLOOKUP($F52,INACTIVITY!$A$6:$BW$345,30,FALSE)</f>
        <v>26</v>
      </c>
      <c r="P52" s="77">
        <f>VLOOKUP($F52,INACTIVITY!$A$6:$BW$345,34,FALSE)</f>
        <v>25.3</v>
      </c>
      <c r="Q52" s="77">
        <f>VLOOKUP($F52,INACTIVITY!$A$6:$BW$345,38,FALSE)</f>
        <v>23.7</v>
      </c>
      <c r="R52" s="77">
        <f>VLOOKUP($F52,INACTIVITY!$A$6:$BW$345,42,FALSE)</f>
        <v>21.7</v>
      </c>
      <c r="S52" s="77">
        <f>VLOOKUP($F52,INACTIVITY!$A$6:$BW$345,46,FALSE)</f>
        <v>24.2</v>
      </c>
      <c r="T52" s="77">
        <f>VLOOKUP($F52,INACTIVITY!$A$6:$BW$345,50,FALSE)</f>
        <v>20.100000000000001</v>
      </c>
      <c r="U52" s="77">
        <f>VLOOKUP($F52,INACTIVITY!$A$6:$BW$345,54,FALSE)</f>
        <v>24.7</v>
      </c>
      <c r="V52" s="77">
        <f>VLOOKUP($F52,INACTIVITY!$A$6:$BW$345,58,FALSE)</f>
        <v>22.9</v>
      </c>
      <c r="W52" s="77">
        <f>VLOOKUP($F52,INACTIVITY!$A$6:$BW$345,62,FALSE)</f>
        <v>21.7</v>
      </c>
      <c r="X52" s="77">
        <f>VLOOKUP($F52,INACTIVITY!$A$6:$BW$345,66,FALSE)</f>
        <v>26.1</v>
      </c>
      <c r="Y52" s="77">
        <f>VLOOKUP($F52,INACTIVITY!$A$6:$BW$345,70,FALSE)</f>
        <v>25.1</v>
      </c>
      <c r="Z52" s="77">
        <f>VLOOKUP($F52,INACTIVITY!$A$6:$BW$345,74,FALSE)</f>
        <v>27.3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Copeland to Rural as a Region</v>
      </c>
      <c r="G55" s="122"/>
      <c r="H55" s="123"/>
      <c r="I55" s="74">
        <f>(I52-I53)</f>
        <v>3.804355428389762</v>
      </c>
      <c r="J55" s="74">
        <f t="shared" ref="J55:Z55" si="10">(J52-J53)</f>
        <v>5.4914772727272734</v>
      </c>
      <c r="K55" s="74">
        <f t="shared" si="10"/>
        <v>0.73753460654122449</v>
      </c>
      <c r="L55" s="74">
        <f t="shared" si="10"/>
        <v>8.0859346684633593</v>
      </c>
      <c r="M55" s="74">
        <f t="shared" si="10"/>
        <v>8.8649976891079945</v>
      </c>
      <c r="N55" s="74">
        <f t="shared" si="10"/>
        <v>1.166856242079561</v>
      </c>
      <c r="O55" s="74">
        <f t="shared" si="10"/>
        <v>4.3080628724948262</v>
      </c>
      <c r="P55" s="74">
        <f t="shared" si="10"/>
        <v>3.8057542192465519</v>
      </c>
      <c r="Q55" s="74">
        <f t="shared" si="10"/>
        <v>2.5174512055109055</v>
      </c>
      <c r="R55" s="74">
        <f t="shared" si="10"/>
        <v>0.92540690256122815</v>
      </c>
      <c r="S55" s="74">
        <f t="shared" si="10"/>
        <v>3.9267895440275993</v>
      </c>
      <c r="T55" s="74">
        <f t="shared" si="10"/>
        <v>0.40380531659304353</v>
      </c>
      <c r="U55" s="74">
        <f t="shared" si="10"/>
        <v>4.8475706529305285</v>
      </c>
      <c r="V55" s="74">
        <f t="shared" si="10"/>
        <v>3.6467226657196221</v>
      </c>
      <c r="W55" s="74">
        <f t="shared" si="10"/>
        <v>2.5230439908171505</v>
      </c>
      <c r="X55" s="74">
        <f t="shared" si="10"/>
        <v>7.2479350506350713</v>
      </c>
      <c r="Y55" s="74">
        <f t="shared" si="10"/>
        <v>5.3274172781285394</v>
      </c>
      <c r="Z55" s="74">
        <f t="shared" si="10"/>
        <v>6.2148202243699302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Copeland</v>
      </c>
      <c r="G60" s="88"/>
      <c r="H60" s="89"/>
      <c r="I60" s="76">
        <f>VLOOKUP($F60,DISABILITY!$A$718:$I$1052,DISABILITY!B$1053,FALSE)</f>
        <v>47.599999999999994</v>
      </c>
      <c r="J60" s="77">
        <f>VLOOKUP($F60,DISABILITY!$A$718:$I$1052,DISABILITY!C$1053,FALSE)</f>
        <v>23.300000000000004</v>
      </c>
      <c r="K60" s="77">
        <f>VLOOKUP($F60,DISABILITY!$A$718:$I$1052,DISABILITY!D$1053,FALSE)</f>
        <v>29.399999999999991</v>
      </c>
      <c r="L60" s="77">
        <f>VLOOKUP($F60,DISABILITY!$A$718:$I$1052,DISABILITY!E$1053,FALSE)</f>
        <v>30.200000000000003</v>
      </c>
      <c r="M60" s="77">
        <f>VLOOKUP($F60,DISABILITY!$A$718:$I$1052,DISABILITY!F$1053,FALSE)</f>
        <v>11.200000000000003</v>
      </c>
      <c r="N60" s="77">
        <f>VLOOKUP($F60,DISABILITY!$A$718:$I$1052,DISABILITY!G$1053,FALSE)</f>
        <v>18.599999999999994</v>
      </c>
      <c r="O60" s="77">
        <f>VLOOKUP($F60,DISABILITY!$A$718:$I$1052,DISABILITY!H$1053,FALSE)</f>
        <v>24.5</v>
      </c>
      <c r="P60" s="77">
        <f>VLOOKUP($F60,DISABILITY!$A$718:$I$1052,DISABILITY!I$1053,FALSE)</f>
        <v>45.300000000000004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Copeland to Rural as a Region</v>
      </c>
      <c r="G63" s="122"/>
      <c r="H63" s="123"/>
      <c r="I63" s="74">
        <f>(I60-I61)</f>
        <v>20.179843459352746</v>
      </c>
      <c r="J63" s="74">
        <f t="shared" ref="J63:P63" si="12">(J60-J61)</f>
        <v>-4.019044407051183</v>
      </c>
      <c r="K63" s="74">
        <f t="shared" si="12"/>
        <v>1.280871638501786</v>
      </c>
      <c r="L63" s="74">
        <f t="shared" si="12"/>
        <v>4.2090654610033269</v>
      </c>
      <c r="M63" s="74">
        <f t="shared" si="12"/>
        <v>-14.275225818666115</v>
      </c>
      <c r="N63" s="74">
        <f t="shared" si="12"/>
        <v>-6.9312476854419884</v>
      </c>
      <c r="O63" s="74">
        <f t="shared" si="12"/>
        <v>0.70277771200305494</v>
      </c>
      <c r="P63" s="74">
        <f t="shared" si="12"/>
        <v>19.945822069657829</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Copeland</v>
      </c>
      <c r="G68" s="88"/>
      <c r="H68" s="89"/>
      <c r="I68" s="76">
        <f>VLOOKUP($F68,'WORKLESS HOUSEHOLDS'!$DW$4:$EC$397,7,FALSE)</f>
        <v>24.018471463213711</v>
      </c>
      <c r="J68" s="77">
        <f>VLOOKUP($F68,'WORKLESS HOUSEHOLDS'!$DN$4:$DT$397,7,FALSE)</f>
        <v>38.623462876479216</v>
      </c>
      <c r="K68" s="77">
        <f>VLOOKUP($F68,'WORKLESS HOUSEHOLDS'!$DE$4:$DK$397,7,FALSE)</f>
        <v>11.258109941112703</v>
      </c>
      <c r="L68" s="77">
        <f>VLOOKUP($F68,'WORKLESS HOUSEHOLDS'!$CV$4:$DB$397,7,FALSE)</f>
        <v>10.536400720420424</v>
      </c>
      <c r="M68" s="77">
        <f>VLOOKUP($F68,'WORKLESS HOUSEHOLDS'!$CM$4:$CS$397,7,FALSE)</f>
        <v>13.847524513676927</v>
      </c>
      <c r="N68" s="77">
        <f>VLOOKUP($F68,'WORKLESS HOUSEHOLDS'!$CD$4:$CJ$397,7,FALSE)</f>
        <v>24.313235818765609</v>
      </c>
      <c r="O68" s="77">
        <f>VLOOKUP($F68,'WORKLESS HOUSEHOLDS'!$BU$4:$CA$397,7,FALSE)</f>
        <v>16.722810394610203</v>
      </c>
      <c r="P68" s="77">
        <f>VLOOKUP($F68,'WORKLESS HOUSEHOLDS'!$BL$4:$BR$397,7,FALSE)</f>
        <v>12.745812090313184</v>
      </c>
      <c r="Q68" s="77">
        <f>VLOOKUP($F68,'WORKLESS HOUSEHOLDS'!$BC$4:$BI$397,7,FALSE)</f>
        <v>23.281267814388325</v>
      </c>
      <c r="R68" s="77">
        <f>VLOOKUP($F68,'WORKLESS HOUSEHOLDS'!$AT$4:$AZ$397,7,FALSE)</f>
        <v>5.6758164100275241</v>
      </c>
      <c r="S68" s="77">
        <f>VLOOKUP($F68,'WORKLESS HOUSEHOLDS'!$AK$4:$AQ$397,7,FALSE)</f>
        <v>19.882460061253209</v>
      </c>
      <c r="T68" s="77" t="str">
        <f>VLOOKUP($F68,'WORKLESS HOUSEHOLDS'!$AB$4:$AH$397,7,FALSE)</f>
        <v>#</v>
      </c>
      <c r="U68" s="77">
        <f>VLOOKUP($F68,'WORKLESS HOUSEHOLDS'!$S$4:$Y$397,7,FALSE)</f>
        <v>11.674501902843071</v>
      </c>
      <c r="V68" s="77">
        <f>VLOOKUP($F68,'WORKLESS HOUSEHOLDS'!$J$4:$P$397,7,FALSE)</f>
        <v>15.584079944865609</v>
      </c>
      <c r="W68" s="77">
        <f>VLOOKUP($F68,'WORKLESS HOUSEHOLDS'!$B$4:$H$397,7,FALSE)</f>
        <v>11.989498249708284</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Copeland to Rural as a Region</v>
      </c>
      <c r="G71" s="122"/>
      <c r="H71" s="123"/>
      <c r="I71" s="74">
        <f>(I68-I69)</f>
        <v>14.00652560062702</v>
      </c>
      <c r="J71" s="74">
        <f t="shared" ref="J71:W71" si="14">(J68-J69)</f>
        <v>27.712308039004192</v>
      </c>
      <c r="K71" s="74">
        <f t="shared" si="14"/>
        <v>0.96486421195685956</v>
      </c>
      <c r="L71" s="74">
        <f t="shared" si="14"/>
        <v>-0.42960594090930826</v>
      </c>
      <c r="M71" s="74">
        <f t="shared" si="14"/>
        <v>2.1537453324884535</v>
      </c>
      <c r="N71" s="74">
        <f t="shared" si="14"/>
        <v>12.412136139510228</v>
      </c>
      <c r="O71" s="74">
        <f t="shared" si="14"/>
        <v>5.6875571468676913</v>
      </c>
      <c r="P71" s="74">
        <f t="shared" si="14"/>
        <v>3.0543142045453457</v>
      </c>
      <c r="Q71" s="74">
        <f t="shared" si="14"/>
        <v>12.476089553989913</v>
      </c>
      <c r="R71" s="74">
        <f t="shared" si="14"/>
        <v>-5.0302799137020298</v>
      </c>
      <c r="S71" s="74">
        <f t="shared" si="14"/>
        <v>9.7297152331043275</v>
      </c>
      <c r="T71" s="74" t="e">
        <f t="shared" si="14"/>
        <v>#VALUE!</v>
      </c>
      <c r="U71" s="74">
        <f t="shared" si="14"/>
        <v>0.91245173816359504</v>
      </c>
      <c r="V71" s="74">
        <f t="shared" si="14"/>
        <v>5.6452114683259609</v>
      </c>
      <c r="W71" s="74">
        <f t="shared" si="14"/>
        <v>1.6367968265240904</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Copeland</v>
      </c>
      <c r="G76" s="88"/>
      <c r="H76" s="89"/>
      <c r="I76" s="76">
        <f>VLOOKUP($F76,'SKILLED EMPLOYMENT'!$A$1506:$BW$1841,6,FALSE)</f>
        <v>49.500000000000007</v>
      </c>
      <c r="J76" s="77">
        <f>VLOOKUP($F76,'SKILLED EMPLOYMENT'!$A$1506:$BW$1841,10,FALSE)</f>
        <v>50</v>
      </c>
      <c r="K76" s="77">
        <f>VLOOKUP($F76,'SKILLED EMPLOYMENT'!$A$1506:$BW$1841,14,FALSE)</f>
        <v>45.8</v>
      </c>
      <c r="L76" s="77">
        <f>VLOOKUP($F76,'SKILLED EMPLOYMENT'!$A$1506:$BW$1841,18,FALSE)</f>
        <v>47.099999999999994</v>
      </c>
      <c r="M76" s="77">
        <f>VLOOKUP($F76,'SKILLED EMPLOYMENT'!$A$1506:$BW$1841,22,FALSE)</f>
        <v>50.1</v>
      </c>
      <c r="N76" s="77">
        <f>VLOOKUP($F76,'SKILLED EMPLOYMENT'!$A$1506:$BW$1841,26,FALSE)</f>
        <v>47.900000000000006</v>
      </c>
      <c r="O76" s="77">
        <f>VLOOKUP($F76,'SKILLED EMPLOYMENT'!$A$1506:$BW$1841,30,FALSE)</f>
        <v>49.800000000000004</v>
      </c>
      <c r="P76" s="77">
        <f>VLOOKUP($F76,'SKILLED EMPLOYMENT'!$A$1506:$BW$1841,34,FALSE)</f>
        <v>55.6</v>
      </c>
      <c r="Q76" s="77">
        <f>VLOOKUP($F76,'SKILLED EMPLOYMENT'!$A$1506:$BW$1841,38,FALSE)</f>
        <v>57.699999999999996</v>
      </c>
      <c r="R76" s="77">
        <f>VLOOKUP($F76,'SKILLED EMPLOYMENT'!$A$1506:$BW$1841,42,FALSE)</f>
        <v>48.9</v>
      </c>
      <c r="S76" s="77">
        <f>VLOOKUP($F76,'SKILLED EMPLOYMENT'!$A$1506:$BW$1841,46,FALSE)</f>
        <v>59.1</v>
      </c>
      <c r="T76" s="77">
        <f>VLOOKUP($F76,'SKILLED EMPLOYMENT'!$A$1506:$BW$1841,50,FALSE)</f>
        <v>57.9</v>
      </c>
      <c r="U76" s="77">
        <f>VLOOKUP($F76,'SKILLED EMPLOYMENT'!$A$1506:$BW$1841,54,FALSE)</f>
        <v>59.8</v>
      </c>
      <c r="V76" s="77">
        <f>VLOOKUP($F76,'SKILLED EMPLOYMENT'!$A$1506:$BW$1841,58,FALSE)</f>
        <v>55.199999999999996</v>
      </c>
      <c r="W76" s="77">
        <f>VLOOKUP($F76,'SKILLED EMPLOYMENT'!$A$1506:$BW$1841,62,FALSE)</f>
        <v>57.900000000000006</v>
      </c>
      <c r="X76" s="77">
        <f>VLOOKUP($F76,'SKILLED EMPLOYMENT'!$A$1506:$BW$1841,66,FALSE)</f>
        <v>53.400000000000006</v>
      </c>
      <c r="Y76" s="77">
        <f>VLOOKUP($F76,'SKILLED EMPLOYMENT'!$A$1506:$BW$1841,70,FALSE)</f>
        <v>53.800000000000004</v>
      </c>
      <c r="Z76" s="77">
        <f>VLOOKUP($F76,'SKILLED EMPLOYMENT'!$A$1506:$BW$1841,74,FALSE)</f>
        <v>56.199999999999996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Copeland to Rural as a Region</v>
      </c>
      <c r="G79" s="122"/>
      <c r="H79" s="123"/>
      <c r="I79" s="74">
        <f>(I76-I77)</f>
        <v>-3.1999999999999957</v>
      </c>
      <c r="J79" s="74">
        <f t="shared" ref="J79:Z79" si="17">(J76-J77)</f>
        <v>-2.8999999999999986</v>
      </c>
      <c r="K79" s="74">
        <f t="shared" si="17"/>
        <v>-7.7000000000000028</v>
      </c>
      <c r="L79" s="74">
        <f t="shared" si="17"/>
        <v>-6.9000000000000057</v>
      </c>
      <c r="M79" s="74">
        <f t="shared" si="17"/>
        <v>-4</v>
      </c>
      <c r="N79" s="74">
        <f t="shared" si="17"/>
        <v>-6.4999999999999929</v>
      </c>
      <c r="O79" s="74">
        <f t="shared" si="17"/>
        <v>-5.5999999999999943</v>
      </c>
      <c r="P79" s="74">
        <f t="shared" si="17"/>
        <v>0</v>
      </c>
      <c r="Q79" s="74">
        <f t="shared" si="17"/>
        <v>2.2999999999999972</v>
      </c>
      <c r="R79" s="74">
        <f t="shared" si="17"/>
        <v>-7.3000000000000043</v>
      </c>
      <c r="S79" s="74">
        <f t="shared" si="17"/>
        <v>2.8999999999999986</v>
      </c>
      <c r="T79" s="74">
        <f t="shared" si="17"/>
        <v>1.1000000000000014</v>
      </c>
      <c r="U79" s="74">
        <f t="shared" si="17"/>
        <v>3.1999999999999957</v>
      </c>
      <c r="V79" s="74">
        <f t="shared" si="17"/>
        <v>-1.9000000000000057</v>
      </c>
      <c r="W79" s="74">
        <f t="shared" si="17"/>
        <v>0.10000000000000853</v>
      </c>
      <c r="X79" s="74">
        <f t="shared" si="17"/>
        <v>-5.3999999999999915</v>
      </c>
      <c r="Y79" s="74">
        <f t="shared" si="17"/>
        <v>-4.8999999999999986</v>
      </c>
      <c r="Z79" s="74">
        <f t="shared" si="17"/>
        <v>-2.2000000000000028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4rtKeJrXctL2ojReg29U9tGOG+r52nE64qxl3KIYJ5p+vj1dRypzEy8s2rYi1axQSw2mMYcE57ND8ih5I1tJ3g==" saltValue="nE1X6hbYhiNdxARAtnvFB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2022-08-02T10:58:50Z</dcterms:modified>
</cp:coreProperties>
</file>