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0" documentId="8_{0FF41398-9DAA-441E-BE4F-B69F1B1E7620}" xr6:coauthVersionLast="47" xr6:coauthVersionMax="47" xr10:uidLastSave="{0AB057EA-1C40-45C4-B8A3-53BD0305D6F8}"/>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<sst xmlns="http://schemas.openxmlformats.org/spreadsheetml/2006/main" count="32859" uniqueCount="1676">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</sst>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Cornwall</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20.440000000000001</c:v>
                </c:pt>
                <c:pt idx="1">
                  <c:v>20.38</c:v>
                </c:pt>
                <c:pt idx="2">
                  <c:v>20.74</c:v>
                </c:pt>
                <c:pt idx="3">
                  <c:v>21</c:v>
                </c:pt>
                <c:pt idx="4">
                  <c:v>21.05</c:v>
                </c:pt>
                <c:pt idx="5">
                  <c:v>21.29</c:v>
                </c:pt>
                <c:pt idx="6">
                  <c:v>21.5</c:v>
                </c:pt>
                <c:pt idx="7">
                  <c:v>21.97</c:v>
                </c:pt>
                <c:pt idx="8">
                  <c:v>22.46</c:v>
                </c:pt>
                <c:pt idx="9">
                  <c:v>23.1</c:v>
                </c:pt>
                <c:pt idx="10">
                  <c:v>23.68</c:v>
                </c:pt>
                <c:pt idx="11">
                  <c:v>24.2</c:v>
                </c:pt>
                <c:pt idx="12">
                  <c:v>24.69</c:v>
                </c:pt>
                <c:pt idx="13">
                  <c:v>25.51</c:v>
                </c:pt>
                <c:pt idx="14">
                  <c:v>26.45</c:v>
                </c:pt>
                <c:pt idx="15">
                  <c:v>27.15</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Cornwall</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383.2</c:v>
                </c:pt>
                <c:pt idx="1">
                  <c:v>402.9</c:v>
                </c:pt>
                <c:pt idx="2">
                  <c:v>399.8</c:v>
                </c:pt>
                <c:pt idx="3">
                  <c:v>402.5</c:v>
                </c:pt>
                <c:pt idx="4">
                  <c:v>394.1</c:v>
                </c:pt>
                <c:pt idx="5">
                  <c:v>412.1</c:v>
                </c:pt>
                <c:pt idx="6">
                  <c:v>423.7</c:v>
                </c:pt>
                <c:pt idx="7">
                  <c:v>422.2</c:v>
                </c:pt>
                <c:pt idx="8">
                  <c:v>438.1</c:v>
                </c:pt>
                <c:pt idx="9">
                  <c:v>462.1</c:v>
                </c:pt>
                <c:pt idx="10">
                  <c:v>451.2</c:v>
                </c:pt>
                <c:pt idx="11">
                  <c:v>490.6</c:v>
                </c:pt>
                <c:pt idx="12">
                  <c:v>465.2</c:v>
                </c:pt>
                <c:pt idx="13">
                  <c:v>502.3</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Cornwall</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71.8</c:v>
                </c:pt>
                <c:pt idx="1">
                  <c:v>72.099999999999994</c:v>
                </c:pt>
                <c:pt idx="2">
                  <c:v>72.400000000000006</c:v>
                </c:pt>
                <c:pt idx="3">
                  <c:v>71</c:v>
                </c:pt>
                <c:pt idx="4">
                  <c:v>71.099999999999994</c:v>
                </c:pt>
                <c:pt idx="5">
                  <c:v>69.5</c:v>
                </c:pt>
                <c:pt idx="6">
                  <c:v>68.900000000000006</c:v>
                </c:pt>
                <c:pt idx="7">
                  <c:v>71.099999999999994</c:v>
                </c:pt>
                <c:pt idx="8">
                  <c:v>68.8</c:v>
                </c:pt>
                <c:pt idx="9">
                  <c:v>70.3</c:v>
                </c:pt>
                <c:pt idx="10">
                  <c:v>74.3</c:v>
                </c:pt>
                <c:pt idx="11">
                  <c:v>74.3</c:v>
                </c:pt>
                <c:pt idx="12">
                  <c:v>77.099999999999994</c:v>
                </c:pt>
                <c:pt idx="13">
                  <c:v>76.5</c:v>
                </c:pt>
                <c:pt idx="14">
                  <c:v>74.900000000000006</c:v>
                </c:pt>
                <c:pt idx="15">
                  <c:v>77.400000000000006</c:v>
                </c:pt>
                <c:pt idx="16">
                  <c:v>75.599999999999994</c:v>
                </c:pt>
                <c:pt idx="17">
                  <c:v>73.900000000000006</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Cornwall</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12438</c:v>
                </c:pt>
                <c:pt idx="1">
                  <c:v>12899</c:v>
                </c:pt>
                <c:pt idx="2">
                  <c:v>13499</c:v>
                </c:pt>
                <c:pt idx="3">
                  <c:v>14064</c:v>
                </c:pt>
                <c:pt idx="4">
                  <c:v>14467</c:v>
                </c:pt>
                <c:pt idx="5">
                  <c:v>14674</c:v>
                </c:pt>
                <c:pt idx="6">
                  <c:v>15178</c:v>
                </c:pt>
                <c:pt idx="7">
                  <c:v>15545</c:v>
                </c:pt>
                <c:pt idx="8">
                  <c:v>15927</c:v>
                </c:pt>
                <c:pt idx="9">
                  <c:v>16179</c:v>
                </c:pt>
                <c:pt idx="10">
                  <c:v>16550</c:v>
                </c:pt>
                <c:pt idx="11">
                  <c:v>17114</c:v>
                </c:pt>
                <c:pt idx="12">
                  <c:v>17522</c:v>
                </c:pt>
                <c:pt idx="13">
                  <c:v>18030</c:v>
                </c:pt>
                <c:pt idx="14">
                  <c:v>18529</c:v>
                </c:pt>
                <c:pt idx="15">
                  <c:v>18846</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Cornwall</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31.5</c:v>
                </c:pt>
                <c:pt idx="1">
                  <c:v>33.799999999999997</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Cornwall</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24.7</c:v>
                </c:pt>
                <c:pt idx="1">
                  <c:v>24.9</c:v>
                </c:pt>
                <c:pt idx="2">
                  <c:v>25</c:v>
                </c:pt>
                <c:pt idx="3">
                  <c:v>25.1</c:v>
                </c:pt>
                <c:pt idx="4">
                  <c:v>24.6</c:v>
                </c:pt>
                <c:pt idx="5">
                  <c:v>26.7</c:v>
                </c:pt>
                <c:pt idx="6">
                  <c:v>24</c:v>
                </c:pt>
                <c:pt idx="7">
                  <c:v>25</c:v>
                </c:pt>
                <c:pt idx="8">
                  <c:v>27.1</c:v>
                </c:pt>
                <c:pt idx="9">
                  <c:v>25.5</c:v>
                </c:pt>
                <c:pt idx="10">
                  <c:v>21.7</c:v>
                </c:pt>
                <c:pt idx="11">
                  <c:v>21.4</c:v>
                </c:pt>
                <c:pt idx="12">
                  <c:v>19.899999999999999</c:v>
                </c:pt>
                <c:pt idx="13">
                  <c:v>21.2</c:v>
                </c:pt>
                <c:pt idx="14">
                  <c:v>23.1</c:v>
                </c:pt>
                <c:pt idx="15">
                  <c:v>20</c:v>
                </c:pt>
                <c:pt idx="16">
                  <c:v>21.2</c:v>
                </c:pt>
                <c:pt idx="17">
                  <c:v>23</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Cornwall</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30.4</c:v>
                </c:pt>
                <c:pt idx="1">
                  <c:v>33</c:v>
                </c:pt>
                <c:pt idx="2">
                  <c:v>27.799999999999997</c:v>
                </c:pt>
                <c:pt idx="3">
                  <c:v>21.500000000000007</c:v>
                </c:pt>
                <c:pt idx="4">
                  <c:v>22.800000000000004</c:v>
                </c:pt>
                <c:pt idx="5">
                  <c:v>27.200000000000003</c:v>
                </c:pt>
                <c:pt idx="6">
                  <c:v>27.599999999999994</c:v>
                </c:pt>
                <c:pt idx="7">
                  <c:v>30.5</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Cornwall</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12.898139600556283</c:v>
                </c:pt>
                <c:pt idx="1">
                  <c:v>13.014033468891405</c:v>
                </c:pt>
                <c:pt idx="2">
                  <c:v>16.572669418866841</c:v>
                </c:pt>
                <c:pt idx="3">
                  <c:v>11.938178186261961</c:v>
                </c:pt>
                <c:pt idx="4">
                  <c:v>19.684811988914362</c:v>
                </c:pt>
                <c:pt idx="5">
                  <c:v>10.878336436995655</c:v>
                </c:pt>
                <c:pt idx="6">
                  <c:v>9.9322168630694687</c:v>
                </c:pt>
                <c:pt idx="7">
                  <c:v>9.9906143634163715</c:v>
                </c:pt>
                <c:pt idx="8">
                  <c:v>8.3501561988970217</c:v>
                </c:pt>
                <c:pt idx="9">
                  <c:v>10.507856640300194</c:v>
                </c:pt>
                <c:pt idx="10">
                  <c:v>7.9484206231613301</c:v>
                </c:pt>
                <c:pt idx="11">
                  <c:v>6.9889169086015803</c:v>
                </c:pt>
                <c:pt idx="12">
                  <c:v>13.964414234306277</c:v>
                </c:pt>
                <c:pt idx="13">
                  <c:v>7.2234211057840518</c:v>
                </c:pt>
                <c:pt idx="14">
                  <c:v>7.8981097238529721</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Cornwall</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50.9</c:v>
                </c:pt>
                <c:pt idx="1">
                  <c:v>49.900000000000006</c:v>
                </c:pt>
                <c:pt idx="2">
                  <c:v>53.5</c:v>
                </c:pt>
                <c:pt idx="3">
                  <c:v>54.599999999999994</c:v>
                </c:pt>
                <c:pt idx="4">
                  <c:v>56.2</c:v>
                </c:pt>
                <c:pt idx="5">
                  <c:v>52.2</c:v>
                </c:pt>
                <c:pt idx="6">
                  <c:v>52.7</c:v>
                </c:pt>
                <c:pt idx="7">
                  <c:v>54.1</c:v>
                </c:pt>
                <c:pt idx="8">
                  <c:v>51.5</c:v>
                </c:pt>
                <c:pt idx="9">
                  <c:v>49.099999999999994</c:v>
                </c:pt>
                <c:pt idx="10">
                  <c:v>53.8</c:v>
                </c:pt>
                <c:pt idx="11">
                  <c:v>52.5</c:v>
                </c:pt>
                <c:pt idx="12">
                  <c:v>56.5</c:v>
                </c:pt>
                <c:pt idx="13">
                  <c:v>55.2</c:v>
                </c:pt>
                <c:pt idx="14">
                  <c:v>51.900000000000006</c:v>
                </c:pt>
                <c:pt idx="15">
                  <c:v>53</c:v>
                </c:pt>
                <c:pt idx="16">
                  <c:v>53.900000000000006</c:v>
                </c:pt>
                <c:pt idx="17">
                  <c:v>54.599999999999994</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Cornwall is from 2004 to 2021 roughly in line with the England situation.</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Despite the GDHI per head increasing over the years within Cornwall, it is below and dropping further behind that seen in England overall.</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The proportion in Cornwall in both 2017 and 2018 was greater than that seen for rural on average, with the gap widening.</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Cornwall's economic inactivity rate from 2004 to 2013 was consistently above the England situation.  From 2014 onwards it fluctuated a little taking it above as well as below the England situation</a:t>
          </a:r>
          <a:r>
            <a:rPr lang="en-GB" sz="1100">
              <a:latin typeface="Avenir Next LT Pro" panose="020B0504020202020204" pitchFamily="34" charset="0"/>
            </a:rPr>
            <a:t>.</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Cornwall has some year on year variability taking it above as well as below the England and rural situations.</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Cornwall moves from being generally above the rural position from 2006 to 2010 to being generally below up to the year 2020.</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Cornwall in general has a lower proportion of employed people in skilled employment than seen for either 'Rural as a Region' or England.</a:t>
          </a:r>
          <a:endParaRPr lang="en-GB" sz="1100">
            <a:latin typeface="Avenir Next LT Pro" panose="020B0504020202020204" pitchFamily="34" charset="0"/>
          </a:endParaRPr>
        </a:p>
      </xdr:txBody>
    </xdr:sp>
    <xdr:clientData/>
  </xdr:twoCellAnchor>
  <xdr:twoCellAnchor>
    <xdr:from>
      <xdr:col>0</xdr:col>
      <xdr:colOff>586740</xdr:colOff>
      <xdr:row>12</xdr:row>
      <xdr:rowOff>495300</xdr:rowOff>
    </xdr:from>
    <xdr:to>
      <xdr:col>1</xdr:col>
      <xdr:colOff>2567940</xdr:colOff>
      <xdr:row>14</xdr:row>
      <xdr:rowOff>0</xdr:rowOff>
    </xdr:to>
    <xdr:sp macro="" textlink="">
      <xdr:nvSpPr>
        <xdr:cNvPr id="20" name="TextBox 19">
          <a:extLst>
            <a:ext uri="{FF2B5EF4-FFF2-40B4-BE49-F238E27FC236}">
              <a16:creationId xmlns:a16="http://schemas.microsoft.com/office/drawing/2014/main" id="{94E9F479-DECB-49AA-A53B-145E7BF9EC0E}"/>
            </a:ext>
          </a:extLst>
        </xdr:cNvPr>
        <xdr:cNvSpPr txBox="1"/>
      </xdr:nvSpPr>
      <xdr:spPr>
        <a:xfrm>
          <a:off x="586740" y="348234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Cornwall from 2004 to 2019 is consistently below the rural and England situations.</a:t>
          </a:r>
          <a:endParaRPr lang="en-GB" sz="1100">
            <a:latin typeface="Avenir Next LT Pro" panose="020B0504020202020204" pitchFamily="34" charset="0"/>
          </a:endParaRPr>
        </a:p>
      </xdr:txBody>
    </xdr:sp>
    <xdr:clientData/>
  </xdr:twoCellAnchor>
  <xdr:twoCellAnchor>
    <xdr:from>
      <xdr:col>0</xdr:col>
      <xdr:colOff>601980</xdr:colOff>
      <xdr:row>20</xdr:row>
      <xdr:rowOff>609600</xdr:rowOff>
    </xdr:from>
    <xdr:to>
      <xdr:col>1</xdr:col>
      <xdr:colOff>2583180</xdr:colOff>
      <xdr:row>22</xdr:row>
      <xdr:rowOff>137160</xdr:rowOff>
    </xdr:to>
    <xdr:sp macro="" textlink="">
      <xdr:nvSpPr>
        <xdr:cNvPr id="21" name="TextBox 20">
          <a:extLst>
            <a:ext uri="{FF2B5EF4-FFF2-40B4-BE49-F238E27FC236}">
              <a16:creationId xmlns:a16="http://schemas.microsoft.com/office/drawing/2014/main" id="{257887CA-C562-4D94-8318-2B6FD73A2C30}"/>
            </a:ext>
          </a:extLst>
        </xdr:cNvPr>
        <xdr:cNvSpPr txBox="1"/>
      </xdr:nvSpPr>
      <xdr:spPr>
        <a:xfrm>
          <a:off x="601980" y="753618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Cornwall from 2008 to 2021 was consistently below the rural average and England situations.</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activeCell="B4" sqref="B4"/>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203</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Cornwall</v>
      </c>
      <c r="G12" s="88" t="str">
        <f>IFERROR(VLOOKUP(F12,GVA!B244:B552,1,FALSE),VLOOKUP(F12,GVA!B6:C230,2,FALSE))</f>
        <v>Cornwall</v>
      </c>
      <c r="H12" s="89" t="str">
        <f>IF(F12=G12,"",G12)</f>
        <v/>
      </c>
      <c r="I12" s="76">
        <f>IFERROR(VLOOKUP($F12,GVA!$B$7:$S$230,GVA!D$3,FALSE),VLOOKUP($F12,GVA!$B$244:$T$554,GVA!E$3,FALSE))</f>
        <v>20.440000000000001</v>
      </c>
      <c r="J12" s="77">
        <f>IFERROR(VLOOKUP($F12,GVA!$B$7:$S$230,GVA!E$3,FALSE),VLOOKUP($F12,GVA!$B$244:$T$554,GVA!F$3,FALSE))</f>
        <v>20.38</v>
      </c>
      <c r="K12" s="77">
        <f>IFERROR(VLOOKUP($F12,GVA!$B$7:$S$230,GVA!F$3,FALSE),VLOOKUP($F12,GVA!$B$244:$T$554,GVA!G$3,FALSE))</f>
        <v>20.74</v>
      </c>
      <c r="L12" s="77">
        <f>IFERROR(VLOOKUP($F12,GVA!$B$7:$S$230,GVA!G$3,FALSE),VLOOKUP($F12,GVA!$B$244:$T$554,GVA!H$3,FALSE))</f>
        <v>21</v>
      </c>
      <c r="M12" s="77">
        <f>IFERROR(VLOOKUP($F12,GVA!$B$7:$S$230,GVA!H$3,FALSE),VLOOKUP($F12,GVA!$B$244:$T$554,GVA!I$3,FALSE))</f>
        <v>21.05</v>
      </c>
      <c r="N12" s="77">
        <f>IFERROR(VLOOKUP($F12,GVA!$B$7:$S$230,GVA!I$3,FALSE),VLOOKUP($F12,GVA!$B$244:$T$554,GVA!J$3,FALSE))</f>
        <v>21.29</v>
      </c>
      <c r="O12" s="77">
        <f>IFERROR(VLOOKUP($F12,GVA!$B$7:$S$230,GVA!J$3,FALSE),VLOOKUP($F12,GVA!$B$244:$T$554,GVA!K$3,FALSE))</f>
        <v>21.5</v>
      </c>
      <c r="P12" s="77">
        <f>IFERROR(VLOOKUP($F12,GVA!$B$7:$S$230,GVA!K$3,FALSE),VLOOKUP($F12,GVA!$B$244:$T$554,GVA!L$3,FALSE))</f>
        <v>21.97</v>
      </c>
      <c r="Q12" s="77">
        <f>IFERROR(VLOOKUP($F12,GVA!$B$7:$S$230,GVA!L$3,FALSE),VLOOKUP($F12,GVA!$B$244:$T$554,GVA!M$3,FALSE))</f>
        <v>22.46</v>
      </c>
      <c r="R12" s="77">
        <f>IFERROR(VLOOKUP($F12,GVA!$B$7:$S$230,GVA!M$3,FALSE),VLOOKUP($F12,GVA!$B$244:$T$554,GVA!N$3,FALSE))</f>
        <v>23.1</v>
      </c>
      <c r="S12" s="77">
        <f>IFERROR(VLOOKUP($F12,GVA!$B$7:$S$230,GVA!N$3,FALSE),VLOOKUP($F12,GVA!$B$244:$T$554,GVA!O$3,FALSE))</f>
        <v>23.68</v>
      </c>
      <c r="T12" s="77">
        <f>IFERROR(VLOOKUP($F12,GVA!$B$7:$S$230,GVA!O$3,FALSE),VLOOKUP($F12,GVA!$B$244:$T$554,GVA!P$3,FALSE))</f>
        <v>24.2</v>
      </c>
      <c r="U12" s="77">
        <f>IFERROR(VLOOKUP($F12,GVA!$B$7:$S$230,GVA!P$3,FALSE),VLOOKUP($F12,GVA!$B$244:$T$554,GVA!Q$3,FALSE))</f>
        <v>24.69</v>
      </c>
      <c r="V12" s="77">
        <f>IFERROR(VLOOKUP($F12,GVA!$B$7:$S$230,GVA!Q$3,FALSE),VLOOKUP($F12,GVA!$B$244:$T$554,GVA!R$3,FALSE))</f>
        <v>25.51</v>
      </c>
      <c r="W12" s="77">
        <f>IFERROR(VLOOKUP($F12,GVA!$B$7:$S$230,GVA!R$3,FALSE),VLOOKUP($F12,GVA!$B$244:$T$554,GVA!S$3,FALSE))</f>
        <v>26.45</v>
      </c>
      <c r="X12" s="77">
        <f>IFERROR(VLOOKUP($F12,GVA!$B$7:$S$230,GVA!S$3,FALSE),VLOOKUP($F12,GVA!$B$244:$T$554,GVA!T$3,FALSE))</f>
        <v>27.15</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Cornwall to Rural as a Region</v>
      </c>
      <c r="G15" s="122"/>
      <c r="H15" s="123"/>
      <c r="I15" s="74">
        <f>100*((I12-I13)/I13)</f>
        <v>-13.169513040048098</v>
      </c>
      <c r="J15" s="74">
        <f t="shared" ref="J15:X15" si="0">100*((J12-J13)/J13)</f>
        <v>-13.183358013672239</v>
      </c>
      <c r="K15" s="74">
        <f t="shared" si="0"/>
        <v>-14.664001998501181</v>
      </c>
      <c r="L15" s="74">
        <f t="shared" si="0"/>
        <v>-15.454074883533695</v>
      </c>
      <c r="M15" s="74">
        <f t="shared" si="0"/>
        <v>-16.681980746667406</v>
      </c>
      <c r="N15" s="74">
        <f t="shared" si="0"/>
        <v>-16.420449500165919</v>
      </c>
      <c r="O15" s="74">
        <f t="shared" si="0"/>
        <v>-16.634739218139075</v>
      </c>
      <c r="P15" s="74">
        <f t="shared" si="0"/>
        <v>-16.063802207698284</v>
      </c>
      <c r="Q15" s="74">
        <f t="shared" si="0"/>
        <v>-15.913892231581769</v>
      </c>
      <c r="R15" s="74">
        <f t="shared" si="0"/>
        <v>-14.992048575972273</v>
      </c>
      <c r="S15" s="74">
        <f t="shared" si="0"/>
        <v>-14.279434769680311</v>
      </c>
      <c r="T15" s="74">
        <f t="shared" si="0"/>
        <v>-14.026154184500337</v>
      </c>
      <c r="U15" s="74">
        <f t="shared" si="0"/>
        <v>-14.380900875610447</v>
      </c>
      <c r="V15" s="74">
        <f t="shared" si="0"/>
        <v>-13.878182585455043</v>
      </c>
      <c r="W15" s="74">
        <f t="shared" si="0"/>
        <v>-12.516881981659122</v>
      </c>
      <c r="X15" s="74">
        <f t="shared" si="0"/>
        <v>-11.133105509466921</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Cornwall</v>
      </c>
      <c r="G20" s="88"/>
      <c r="H20" s="89"/>
      <c r="I20" s="80">
        <f>IF(VLOOKUP($F20,PAY!$A$11:$AE$349,4,FALSE)="-",#N/A,VLOOKUP($F20,PAY!$A$11:$AE$349,4,FALSE))</f>
        <v>383.2</v>
      </c>
      <c r="J20" s="80">
        <f>IF(VLOOKUP($F20,PAY!$A$11:$AE$349,6,FALSE)="-",#N/A,VLOOKUP($F20,PAY!$A$11:$AE$349,6,FALSE))</f>
        <v>402.9</v>
      </c>
      <c r="K20" s="80">
        <f>IF(VLOOKUP($F20,PAY!$A$11:$AE$349,8,FALSE)="-",#N/A,VLOOKUP($F20,PAY!$A$11:$AE$349,8,FALSE))</f>
        <v>399.8</v>
      </c>
      <c r="L20" s="80">
        <f>IF(VLOOKUP($F20,PAY!$A$11:$AE$349,10,FALSE)="-",#N/A,VLOOKUP($F20,PAY!$A$11:$AE$349,10,FALSE))</f>
        <v>402.5</v>
      </c>
      <c r="M20" s="80">
        <f>IF(VLOOKUP($F20,PAY!$A$11:$AE$349,12,FALSE)="-",#N/A,VLOOKUP($F20,PAY!$A$11:$AE$349,12,FALSE))</f>
        <v>394.1</v>
      </c>
      <c r="N20" s="80">
        <f>IF(VLOOKUP($F20,PAY!$A$11:$AE$349,14,FALSE)="-",#N/A,VLOOKUP($F20,PAY!$A$11:$AE$349,14,FALSE))</f>
        <v>412.1</v>
      </c>
      <c r="O20" s="80">
        <f>IF(VLOOKUP($F20,PAY!$A$11:$AE$349,16,FALSE)="-",#N/A,VLOOKUP($F20,PAY!$A$11:$AE$349,16,FALSE))</f>
        <v>423.7</v>
      </c>
      <c r="P20" s="80">
        <f>IF(VLOOKUP($F20,PAY!$A$11:$AE$349,18,FALSE)="-",#N/A,VLOOKUP($F20,PAY!$A$11:$AE$349,18,FALSE))</f>
        <v>422.2</v>
      </c>
      <c r="Q20" s="80">
        <f>IF(VLOOKUP($F20,PAY!$A$11:$AE$349,20,FALSE)="-",#N/A,VLOOKUP($F20,PAY!$A$11:$AE$349,20,FALSE))</f>
        <v>438.1</v>
      </c>
      <c r="R20" s="80">
        <f>IF(VLOOKUP($F20,PAY!$A$11:$AE$349,22,FALSE)="-",#N/A,VLOOKUP($F20,PAY!$A$11:$AE$349,22,FALSE))</f>
        <v>462.1</v>
      </c>
      <c r="S20" s="80">
        <f>IF(VLOOKUP($F20,PAY!$A$11:$AE$349,24,FALSE)="-",#N/A,VLOOKUP($F20,PAY!$A$11:$AE$349,24,FALSE))</f>
        <v>451.2</v>
      </c>
      <c r="T20" s="80">
        <f>IF(VLOOKUP($F20,PAY!$A$11:$AE$349,26,FALSE)="-",#N/A,VLOOKUP($F20,PAY!$A$11:$AE$349,26,FALSE))</f>
        <v>490.6</v>
      </c>
      <c r="U20" s="80">
        <f>IF(VLOOKUP($F20,PAY!$A$11:$AE$349,28,FALSE)="-",#N/A,VLOOKUP($F20,PAY!$A$11:$AE$349,28,FALSE))</f>
        <v>465.2</v>
      </c>
      <c r="V20" s="80">
        <f>IF(VLOOKUP($F20,PAY!$A$11:$AE$349,30,FALSE)="-",#N/A,VLOOKUP($F20,PAY!$A$11:$AE$349,30,FALSE))</f>
        <v>502.3</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Cornwall to Rural as a Region</v>
      </c>
      <c r="G23" s="122"/>
      <c r="H23" s="123"/>
      <c r="I23" s="74">
        <f>100*((I20-I21)/I21)</f>
        <v>-11.499602413583423</v>
      </c>
      <c r="J23" s="74">
        <f t="shared" ref="J23:V23" si="2">100*((J20-J21)/J21)</f>
        <v>-7.7873776964009922</v>
      </c>
      <c r="K23" s="74">
        <f t="shared" si="2"/>
        <v>-10.781364315596516</v>
      </c>
      <c r="L23" s="74">
        <f t="shared" si="2"/>
        <v>-10.685193923868573</v>
      </c>
      <c r="M23" s="74">
        <f t="shared" si="2"/>
        <v>-13.430856240372377</v>
      </c>
      <c r="N23" s="74">
        <f t="shared" si="2"/>
        <v>-11.026602460741278</v>
      </c>
      <c r="O23" s="74">
        <f t="shared" si="2"/>
        <v>-10.004732022348053</v>
      </c>
      <c r="P23" s="74">
        <f t="shared" si="2"/>
        <v>-11.082378721918168</v>
      </c>
      <c r="Q23" s="74">
        <f t="shared" si="2"/>
        <v>-10.497270430395334</v>
      </c>
      <c r="R23" s="74">
        <f t="shared" si="2"/>
        <v>-8.3238532916462287</v>
      </c>
      <c r="S23" s="74">
        <f t="shared" si="2"/>
        <v>-12.290525307648355</v>
      </c>
      <c r="T23" s="74">
        <f t="shared" si="2"/>
        <v>-8.0754929099924695</v>
      </c>
      <c r="U23" s="74">
        <f t="shared" si="2"/>
        <v>-12.399664223971655</v>
      </c>
      <c r="V23" s="74">
        <f t="shared" si="2"/>
        <v>-10.979841180703419</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Cornwall</v>
      </c>
      <c r="G28" s="88"/>
      <c r="H28" s="89"/>
      <c r="I28" s="76">
        <f>VLOOKUP($F28,EMPLOYMENT!$A$6:$BW$345,6,FALSE)</f>
        <v>71.8</v>
      </c>
      <c r="J28" s="77">
        <f>VLOOKUP($F28,EMPLOYMENT!$A$6:$BW$345,10,FALSE)</f>
        <v>72.099999999999994</v>
      </c>
      <c r="K28" s="77">
        <f>VLOOKUP($F28,EMPLOYMENT!$A$6:$BW$345,14,FALSE)</f>
        <v>72.400000000000006</v>
      </c>
      <c r="L28" s="77">
        <f>VLOOKUP($F28,EMPLOYMENT!$A$6:$BW$345,18,FALSE)</f>
        <v>71</v>
      </c>
      <c r="M28" s="77">
        <f>VLOOKUP($F28,EMPLOYMENT!$A$6:$BW$345,22,FALSE)</f>
        <v>71.099999999999994</v>
      </c>
      <c r="N28" s="77">
        <f>VLOOKUP($F28,EMPLOYMENT!$A$6:$BW$345,26,FALSE)</f>
        <v>69.5</v>
      </c>
      <c r="O28" s="77">
        <f>VLOOKUP($F28,EMPLOYMENT!$A$6:$BW$345,30,FALSE)</f>
        <v>68.900000000000006</v>
      </c>
      <c r="P28" s="77">
        <f>VLOOKUP($F28,EMPLOYMENT!$A$6:$BW$345,34,FALSE)</f>
        <v>71.099999999999994</v>
      </c>
      <c r="Q28" s="77">
        <f>VLOOKUP($F28,EMPLOYMENT!$A$6:$BW$345,38,FALSE)</f>
        <v>68.8</v>
      </c>
      <c r="R28" s="77">
        <f>VLOOKUP($F28,EMPLOYMENT!$A$6:$BW$345,42,FALSE)</f>
        <v>70.3</v>
      </c>
      <c r="S28" s="77">
        <f>VLOOKUP($F28,EMPLOYMENT!$A$6:$BW$345,46,FALSE)</f>
        <v>74.3</v>
      </c>
      <c r="T28" s="77">
        <f>VLOOKUP($F28,EMPLOYMENT!$A$6:$BW$345,50,FALSE)</f>
        <v>74.3</v>
      </c>
      <c r="U28" s="77">
        <f>VLOOKUP($F28,EMPLOYMENT!$A$6:$BW$345,54,FALSE)</f>
        <v>77.099999999999994</v>
      </c>
      <c r="V28" s="77">
        <f>VLOOKUP($F28,EMPLOYMENT!$A$6:$BW$345,58,FALSE)</f>
        <v>76.5</v>
      </c>
      <c r="W28" s="77">
        <f>VLOOKUP($F28,EMPLOYMENT!$A$6:$BW$345,62,FALSE)</f>
        <v>74.900000000000006</v>
      </c>
      <c r="X28" s="77">
        <f>VLOOKUP($F28,EMPLOYMENT!$A$6:$BW$345,66,FALSE)</f>
        <v>77.400000000000006</v>
      </c>
      <c r="Y28" s="77">
        <f>VLOOKUP($F28,EMPLOYMENT!$A$6:$BW$345,70,FALSE)</f>
        <v>75.599999999999994</v>
      </c>
      <c r="Z28" s="77">
        <f>VLOOKUP($F28,EMPLOYMENT!$A$6:$BW$345,74,FALSE)</f>
        <v>73.900000000000006</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Cornwall to Rural as a Region</v>
      </c>
      <c r="G31" s="122"/>
      <c r="H31" s="123"/>
      <c r="I31" s="74">
        <f>(I28-I29)</f>
        <v>-4.3113419194017411</v>
      </c>
      <c r="J31" s="74">
        <f t="shared" ref="J31:Z31" si="4">(J28-J29)</f>
        <v>-4.2129754666829626</v>
      </c>
      <c r="K31" s="74">
        <f t="shared" si="4"/>
        <v>-3.4731888994867575</v>
      </c>
      <c r="L31" s="74">
        <f t="shared" si="4"/>
        <v>-4.6404683026278377</v>
      </c>
      <c r="M31" s="74">
        <f t="shared" si="4"/>
        <v>-4.6355243733317479</v>
      </c>
      <c r="N31" s="74">
        <f t="shared" si="4"/>
        <v>-5.0095398428731812</v>
      </c>
      <c r="O31" s="74">
        <f t="shared" si="4"/>
        <v>-4.6471331389698634</v>
      </c>
      <c r="P31" s="74">
        <f t="shared" si="4"/>
        <v>-2.6342954032776191</v>
      </c>
      <c r="Q31" s="74">
        <f t="shared" si="4"/>
        <v>-5.2331574754625763</v>
      </c>
      <c r="R31" s="74">
        <f t="shared" si="4"/>
        <v>-4.4444749299002098</v>
      </c>
      <c r="S31" s="74">
        <f t="shared" si="4"/>
        <v>-1.8088603400756114</v>
      </c>
      <c r="T31" s="74">
        <f t="shared" si="4"/>
        <v>-2.8905319756090222</v>
      </c>
      <c r="U31" s="74">
        <f t="shared" si="4"/>
        <v>0.12836751829195236</v>
      </c>
      <c r="V31" s="74">
        <f t="shared" si="4"/>
        <v>-1.5327868852458977</v>
      </c>
      <c r="W31" s="74">
        <f t="shared" si="4"/>
        <v>-3.1481568934141393</v>
      </c>
      <c r="X31" s="74">
        <f t="shared" si="4"/>
        <v>-1.1912993789566997</v>
      </c>
      <c r="Y31" s="74">
        <f t="shared" si="4"/>
        <v>-1.4143462961292101</v>
      </c>
      <c r="Z31" s="74">
        <f t="shared" si="4"/>
        <v>-2.2557580778790367</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Cornwall</v>
      </c>
      <c r="G36" s="88" t="str">
        <f>IFERROR(VLOOKUP(F36,GDHI!B338:C574,2,FALSE),VLOOKUP(F36,GDHI!C3:C336,1,FALSE))</f>
        <v>Cornwall</v>
      </c>
      <c r="H36" s="89" t="str">
        <f>IF(F36=G36,"",G36)</f>
        <v/>
      </c>
      <c r="I36" s="83">
        <f>IFERROR(VLOOKUP($F36,GDHI!$B$338:$U$574,GDHI!G$578,FALSE),VLOOKUP($F36,GDHI!$C$3:$U$336,GDHI!F$578,FALSE))</f>
        <v>12438</v>
      </c>
      <c r="J36" s="84">
        <f>IFERROR(VLOOKUP($F36,GDHI!$B$338:$U$574,GDHI!H$578,FALSE),VLOOKUP($F36,GDHI!$C$3:$U$336,GDHI!G$578,FALSE))</f>
        <v>12899</v>
      </c>
      <c r="K36" s="84">
        <f>IFERROR(VLOOKUP($F36,GDHI!$B$338:$U$574,GDHI!I$578,FALSE),VLOOKUP($F36,GDHI!$C$3:$U$336,GDHI!H$578,FALSE))</f>
        <v>13499</v>
      </c>
      <c r="L36" s="84">
        <f>IFERROR(VLOOKUP($F36,GDHI!$B$338:$U$574,GDHI!J$578,FALSE),VLOOKUP($F36,GDHI!$C$3:$U$336,GDHI!I$578,FALSE))</f>
        <v>14064</v>
      </c>
      <c r="M36" s="84">
        <f>IFERROR(VLOOKUP($F36,GDHI!$B$338:$U$574,GDHI!K$578,FALSE),VLOOKUP($F36,GDHI!$C$3:$U$336,GDHI!J$578,FALSE))</f>
        <v>14467</v>
      </c>
      <c r="N36" s="84">
        <f>IFERROR(VLOOKUP($F36,GDHI!$B$338:$U$574,GDHI!L$578,FALSE),VLOOKUP($F36,GDHI!$C$3:$U$336,GDHI!K$578,FALSE))</f>
        <v>14674</v>
      </c>
      <c r="O36" s="84">
        <f>IFERROR(VLOOKUP($F36,GDHI!$B$338:$U$574,GDHI!M$578,FALSE),VLOOKUP($F36,GDHI!$C$3:$U$336,GDHI!L$578,FALSE))</f>
        <v>15178</v>
      </c>
      <c r="P36" s="84">
        <f>IFERROR(VLOOKUP($F36,GDHI!$B$338:$U$574,GDHI!N$578,FALSE),VLOOKUP($F36,GDHI!$C$3:$U$336,GDHI!M$578,FALSE))</f>
        <v>15545</v>
      </c>
      <c r="Q36" s="84">
        <f>IFERROR(VLOOKUP($F36,GDHI!$B$338:$U$574,GDHI!O$578,FALSE),VLOOKUP($F36,GDHI!$C$3:$U$336,GDHI!N$578,FALSE))</f>
        <v>15927</v>
      </c>
      <c r="R36" s="84">
        <f>IFERROR(VLOOKUP($F36,GDHI!$B$338:$U$574,GDHI!P$578,FALSE),VLOOKUP($F36,GDHI!$C$3:$U$336,GDHI!O$578,FALSE))</f>
        <v>16179</v>
      </c>
      <c r="S36" s="84">
        <f>IFERROR(VLOOKUP($F36,GDHI!$B$338:$U$574,GDHI!Q$578,FALSE),VLOOKUP($F36,GDHI!$C$3:$U$336,GDHI!P$578,FALSE))</f>
        <v>16550</v>
      </c>
      <c r="T36" s="84">
        <f>IFERROR(VLOOKUP($F36,GDHI!$B$338:$U$574,GDHI!R$578,FALSE),VLOOKUP($F36,GDHI!$C$3:$U$336,GDHI!Q$578,FALSE))</f>
        <v>17114</v>
      </c>
      <c r="U36" s="84">
        <f>IFERROR(VLOOKUP($F36,GDHI!$B$338:$U$574,GDHI!S$578,FALSE),VLOOKUP($F36,GDHI!$C$3:$U$336,GDHI!R$578,FALSE))</f>
        <v>17522</v>
      </c>
      <c r="V36" s="84">
        <f>IFERROR(VLOOKUP($F36,GDHI!$B$338:$U$574,GDHI!T$578,FALSE),VLOOKUP($F36,GDHI!$C$3:$U$336,GDHI!S$578,FALSE))</f>
        <v>18030</v>
      </c>
      <c r="W36" s="84">
        <f>IFERROR(VLOOKUP($F36,GDHI!$B$338:$U$574,GDHI!U$578,FALSE),VLOOKUP($F36,GDHI!$C$3:$U$336,GDHI!T$578,FALSE))</f>
        <v>18529</v>
      </c>
      <c r="X36" s="84">
        <f>IFERROR(VLOOKUP($F36,GDHI!$B$338:$U$574,GDHI!V$578,FALSE),VLOOKUP($F36,GDHI!$C$3:$U$336,GDHI!U$578,FALSE))</f>
        <v>18846</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Cornwall to Rural as a Region</v>
      </c>
      <c r="G39" s="122"/>
      <c r="H39" s="123"/>
      <c r="I39" s="74">
        <f>100*((I36-I37)/I37)</f>
        <v>-15.442401169312351</v>
      </c>
      <c r="J39" s="74">
        <f t="shared" ref="J39:X39" si="6">100*((J36-J37)/J37)</f>
        <v>-15.920542011560663</v>
      </c>
      <c r="K39" s="74">
        <f t="shared" si="6"/>
        <v>-15.229536396808982</v>
      </c>
      <c r="L39" s="74">
        <f t="shared" si="6"/>
        <v>-15.114386657728138</v>
      </c>
      <c r="M39" s="74">
        <f t="shared" si="6"/>
        <v>-15.216039929590181</v>
      </c>
      <c r="N39" s="74">
        <f t="shared" si="6"/>
        <v>-15.144447389345356</v>
      </c>
      <c r="O39" s="74">
        <f t="shared" si="6"/>
        <v>-13.307789333396801</v>
      </c>
      <c r="P39" s="74">
        <f t="shared" si="6"/>
        <v>-12.66877295673366</v>
      </c>
      <c r="Q39" s="74">
        <f t="shared" si="6"/>
        <v>-13.281660178354048</v>
      </c>
      <c r="R39" s="74">
        <f t="shared" si="6"/>
        <v>-14.278631850037629</v>
      </c>
      <c r="S39" s="74">
        <f t="shared" si="6"/>
        <v>-14.673285594073898</v>
      </c>
      <c r="T39" s="74">
        <f t="shared" si="6"/>
        <v>-16.34714419884294</v>
      </c>
      <c r="U39" s="74">
        <f t="shared" si="6"/>
        <v>-15.044456193737119</v>
      </c>
      <c r="V39" s="74">
        <f t="shared" si="6"/>
        <v>-14.001525182258145</v>
      </c>
      <c r="W39" s="74">
        <f t="shared" si="6"/>
        <v>-15.167562535495923</v>
      </c>
      <c r="X39" s="74">
        <f t="shared" si="6"/>
        <v>-15.356437649944855</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Cornwall</v>
      </c>
      <c r="G44" s="88"/>
      <c r="H44" s="89"/>
      <c r="I44" s="76">
        <f>VLOOKUP($F44,'LOW PAID'!$A$9:$N$444,6,FALSE)</f>
        <v>31.5</v>
      </c>
      <c r="J44" s="77">
        <f>VLOOKUP($F44,'LOW PAID'!$P$9:$W$444,6,FALSE)</f>
        <v>33.799999999999997</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Cornwall to Rural as a Region</v>
      </c>
      <c r="G47" s="122"/>
      <c r="H47" s="123"/>
      <c r="I47" s="74">
        <f>(I44-I45)</f>
        <v>6.3061253217868831</v>
      </c>
      <c r="J47" s="74">
        <f>(J44-J45)</f>
        <v>8.1138834909699433</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Cornwall</v>
      </c>
      <c r="G52" s="88"/>
      <c r="H52" s="89"/>
      <c r="I52" s="76">
        <f>VLOOKUP($F52,INACTIVITY!$A$6:$BW$345,6,FALSE)</f>
        <v>24.7</v>
      </c>
      <c r="J52" s="77">
        <f>VLOOKUP($F52,INACTIVITY!$A$6:$BW$345,10,FALSE)</f>
        <v>24.9</v>
      </c>
      <c r="K52" s="77">
        <f>VLOOKUP($F52,INACTIVITY!$A$6:$BW$345,14,FALSE)</f>
        <v>25</v>
      </c>
      <c r="L52" s="77">
        <f>VLOOKUP($F52,INACTIVITY!$A$6:$BW$345,18,FALSE)</f>
        <v>25.1</v>
      </c>
      <c r="M52" s="77">
        <f>VLOOKUP($F52,INACTIVITY!$A$6:$BW$345,22,FALSE)</f>
        <v>24.6</v>
      </c>
      <c r="N52" s="77">
        <f>VLOOKUP($F52,INACTIVITY!$A$6:$BW$345,26,FALSE)</f>
        <v>26.7</v>
      </c>
      <c r="O52" s="77">
        <f>VLOOKUP($F52,INACTIVITY!$A$6:$BW$345,30,FALSE)</f>
        <v>24</v>
      </c>
      <c r="P52" s="77">
        <f>VLOOKUP($F52,INACTIVITY!$A$6:$BW$345,34,FALSE)</f>
        <v>25</v>
      </c>
      <c r="Q52" s="77">
        <f>VLOOKUP($F52,INACTIVITY!$A$6:$BW$345,38,FALSE)</f>
        <v>27.1</v>
      </c>
      <c r="R52" s="77">
        <f>VLOOKUP($F52,INACTIVITY!$A$6:$BW$345,42,FALSE)</f>
        <v>25.5</v>
      </c>
      <c r="S52" s="77">
        <f>VLOOKUP($F52,INACTIVITY!$A$6:$BW$345,46,FALSE)</f>
        <v>21.7</v>
      </c>
      <c r="T52" s="77">
        <f>VLOOKUP($F52,INACTIVITY!$A$6:$BW$345,50,FALSE)</f>
        <v>21.4</v>
      </c>
      <c r="U52" s="77">
        <f>VLOOKUP($F52,INACTIVITY!$A$6:$BW$345,54,FALSE)</f>
        <v>19.899999999999999</v>
      </c>
      <c r="V52" s="77">
        <f>VLOOKUP($F52,INACTIVITY!$A$6:$BW$345,58,FALSE)</f>
        <v>21.2</v>
      </c>
      <c r="W52" s="77">
        <f>VLOOKUP($F52,INACTIVITY!$A$6:$BW$345,62,FALSE)</f>
        <v>23.1</v>
      </c>
      <c r="X52" s="77">
        <f>VLOOKUP($F52,INACTIVITY!$A$6:$BW$345,66,FALSE)</f>
        <v>20</v>
      </c>
      <c r="Y52" s="77">
        <f>VLOOKUP($F52,INACTIVITY!$A$6:$BW$345,70,FALSE)</f>
        <v>21.2</v>
      </c>
      <c r="Z52" s="77">
        <f>VLOOKUP($F52,INACTIVITY!$A$6:$BW$345,74,FALSE)</f>
        <v>23</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Cornwall to Rural as a Region</v>
      </c>
      <c r="G55" s="122"/>
      <c r="H55" s="123"/>
      <c r="I55" s="74">
        <f>(I52-I53)</f>
        <v>3.304355428389762</v>
      </c>
      <c r="J55" s="74">
        <f t="shared" ref="J55:Z55" si="10">(J52-J53)</f>
        <v>3.891477272727272</v>
      </c>
      <c r="K55" s="74">
        <f t="shared" si="10"/>
        <v>4.1375346065412231</v>
      </c>
      <c r="L55" s="74">
        <f t="shared" si="10"/>
        <v>3.7859346684633621</v>
      </c>
      <c r="M55" s="74">
        <f t="shared" si="10"/>
        <v>3.7649976891079966</v>
      </c>
      <c r="N55" s="74">
        <f t="shared" si="10"/>
        <v>5.7668562420795588</v>
      </c>
      <c r="O55" s="74">
        <f t="shared" si="10"/>
        <v>2.3080628724948262</v>
      </c>
      <c r="P55" s="74">
        <f t="shared" si="10"/>
        <v>3.5057542192465512</v>
      </c>
      <c r="Q55" s="74">
        <f t="shared" si="10"/>
        <v>5.9174512055109076</v>
      </c>
      <c r="R55" s="74">
        <f t="shared" si="10"/>
        <v>4.7254069025612289</v>
      </c>
      <c r="S55" s="74">
        <f t="shared" si="10"/>
        <v>1.4267895440275993</v>
      </c>
      <c r="T55" s="74">
        <f t="shared" si="10"/>
        <v>1.7038053165930407</v>
      </c>
      <c r="U55" s="74">
        <f t="shared" si="10"/>
        <v>4.7570652930527757E-2</v>
      </c>
      <c r="V55" s="74">
        <f t="shared" si="10"/>
        <v>1.9467226657196228</v>
      </c>
      <c r="W55" s="74">
        <f t="shared" si="10"/>
        <v>3.9230439908171526</v>
      </c>
      <c r="X55" s="74">
        <f t="shared" si="10"/>
        <v>1.1479350506350698</v>
      </c>
      <c r="Y55" s="74">
        <f t="shared" si="10"/>
        <v>1.4274172781285372</v>
      </c>
      <c r="Z55" s="74">
        <f t="shared" si="10"/>
        <v>1.9148202243699295</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Cornwall</v>
      </c>
      <c r="G60" s="88"/>
      <c r="H60" s="89"/>
      <c r="I60" s="76">
        <f>VLOOKUP($F60,DISABILITY!$A$718:$I$1052,DISABILITY!B$1053,FALSE)</f>
        <v>30.4</v>
      </c>
      <c r="J60" s="77">
        <f>VLOOKUP($F60,DISABILITY!$A$718:$I$1052,DISABILITY!C$1053,FALSE)</f>
        <v>33</v>
      </c>
      <c r="K60" s="77">
        <f>VLOOKUP($F60,DISABILITY!$A$718:$I$1052,DISABILITY!D$1053,FALSE)</f>
        <v>27.799999999999997</v>
      </c>
      <c r="L60" s="77">
        <f>VLOOKUP($F60,DISABILITY!$A$718:$I$1052,DISABILITY!E$1053,FALSE)</f>
        <v>21.500000000000007</v>
      </c>
      <c r="M60" s="77">
        <f>VLOOKUP($F60,DISABILITY!$A$718:$I$1052,DISABILITY!F$1053,FALSE)</f>
        <v>22.800000000000004</v>
      </c>
      <c r="N60" s="77">
        <f>VLOOKUP($F60,DISABILITY!$A$718:$I$1052,DISABILITY!G$1053,FALSE)</f>
        <v>27.200000000000003</v>
      </c>
      <c r="O60" s="77">
        <f>VLOOKUP($F60,DISABILITY!$A$718:$I$1052,DISABILITY!H$1053,FALSE)</f>
        <v>27.599999999999994</v>
      </c>
      <c r="P60" s="77">
        <f>VLOOKUP($F60,DISABILITY!$A$718:$I$1052,DISABILITY!I$1053,FALSE)</f>
        <v>30.5</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Cornwall to Rural as a Region</v>
      </c>
      <c r="G63" s="122"/>
      <c r="H63" s="123"/>
      <c r="I63" s="74">
        <f>(I60-I61)</f>
        <v>2.9798434593527503</v>
      </c>
      <c r="J63" s="74">
        <f t="shared" ref="J63:P63" si="12">(J60-J61)</f>
        <v>5.6809555929488127</v>
      </c>
      <c r="K63" s="74">
        <f t="shared" si="12"/>
        <v>-0.31912836149820833</v>
      </c>
      <c r="L63" s="74">
        <f t="shared" si="12"/>
        <v>-4.4909345389966688</v>
      </c>
      <c r="M63" s="74">
        <f t="shared" si="12"/>
        <v>-2.6752258186661138</v>
      </c>
      <c r="N63" s="74">
        <f t="shared" si="12"/>
        <v>1.6687523145580201</v>
      </c>
      <c r="O63" s="74">
        <f t="shared" si="12"/>
        <v>3.8027777120030493</v>
      </c>
      <c r="P63" s="74">
        <f t="shared" si="12"/>
        <v>5.1458220696578252</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Cornwall</v>
      </c>
      <c r="G68" s="88"/>
      <c r="H68" s="89"/>
      <c r="I68" s="76">
        <f>VLOOKUP($F68,'WORKLESS HOUSEHOLDS'!$DW$4:$EC$397,7,FALSE)</f>
        <v>12.898139600556283</v>
      </c>
      <c r="J68" s="77">
        <f>VLOOKUP($F68,'WORKLESS HOUSEHOLDS'!$DN$4:$DT$397,7,FALSE)</f>
        <v>13.014033468891405</v>
      </c>
      <c r="K68" s="77">
        <f>VLOOKUP($F68,'WORKLESS HOUSEHOLDS'!$DE$4:$DK$397,7,FALSE)</f>
        <v>16.572669418866841</v>
      </c>
      <c r="L68" s="77">
        <f>VLOOKUP($F68,'WORKLESS HOUSEHOLDS'!$CV$4:$DB$397,7,FALSE)</f>
        <v>11.938178186261961</v>
      </c>
      <c r="M68" s="77">
        <f>VLOOKUP($F68,'WORKLESS HOUSEHOLDS'!$CM$4:$CS$397,7,FALSE)</f>
        <v>19.684811988914362</v>
      </c>
      <c r="N68" s="77">
        <f>VLOOKUP($F68,'WORKLESS HOUSEHOLDS'!$CD$4:$CJ$397,7,FALSE)</f>
        <v>10.878336436995655</v>
      </c>
      <c r="O68" s="77">
        <f>VLOOKUP($F68,'WORKLESS HOUSEHOLDS'!$BU$4:$CA$397,7,FALSE)</f>
        <v>9.9322168630694687</v>
      </c>
      <c r="P68" s="77">
        <f>VLOOKUP($F68,'WORKLESS HOUSEHOLDS'!$BL$4:$BR$397,7,FALSE)</f>
        <v>9.9906143634163715</v>
      </c>
      <c r="Q68" s="77">
        <f>VLOOKUP($F68,'WORKLESS HOUSEHOLDS'!$BC$4:$BI$397,7,FALSE)</f>
        <v>8.3501561988970217</v>
      </c>
      <c r="R68" s="77">
        <f>VLOOKUP($F68,'WORKLESS HOUSEHOLDS'!$AT$4:$AZ$397,7,FALSE)</f>
        <v>10.507856640300194</v>
      </c>
      <c r="S68" s="77">
        <f>VLOOKUP($F68,'WORKLESS HOUSEHOLDS'!$AK$4:$AQ$397,7,FALSE)</f>
        <v>7.9484206231613301</v>
      </c>
      <c r="T68" s="77">
        <f>VLOOKUP($F68,'WORKLESS HOUSEHOLDS'!$AB$4:$AH$397,7,FALSE)</f>
        <v>6.9889169086015803</v>
      </c>
      <c r="U68" s="77">
        <f>VLOOKUP($F68,'WORKLESS HOUSEHOLDS'!$S$4:$Y$397,7,FALSE)</f>
        <v>13.964414234306277</v>
      </c>
      <c r="V68" s="77">
        <f>VLOOKUP($F68,'WORKLESS HOUSEHOLDS'!$J$4:$P$397,7,FALSE)</f>
        <v>7.2234211057840518</v>
      </c>
      <c r="W68" s="77">
        <f>VLOOKUP($F68,'WORKLESS HOUSEHOLDS'!$B$4:$H$397,7,FALSE)</f>
        <v>7.8981097238529721</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Cornwall to Rural as a Region</v>
      </c>
      <c r="G71" s="122"/>
      <c r="H71" s="123"/>
      <c r="I71" s="74">
        <f>(I68-I69)</f>
        <v>2.8861937379695917</v>
      </c>
      <c r="J71" s="74">
        <f t="shared" ref="J71:W71" si="14">(J68-J69)</f>
        <v>2.102878631416381</v>
      </c>
      <c r="K71" s="74">
        <f t="shared" si="14"/>
        <v>6.2794236897109972</v>
      </c>
      <c r="L71" s="74">
        <f t="shared" si="14"/>
        <v>0.97217152493222869</v>
      </c>
      <c r="M71" s="74">
        <f t="shared" si="14"/>
        <v>7.9910328077258885</v>
      </c>
      <c r="N71" s="74">
        <f t="shared" si="14"/>
        <v>-1.0227632422597264</v>
      </c>
      <c r="O71" s="74">
        <f t="shared" si="14"/>
        <v>-1.1030363846730431</v>
      </c>
      <c r="P71" s="74">
        <f t="shared" si="14"/>
        <v>0.29911647764853377</v>
      </c>
      <c r="Q71" s="74">
        <f t="shared" si="14"/>
        <v>-2.4550220615013902</v>
      </c>
      <c r="R71" s="74">
        <f t="shared" si="14"/>
        <v>-0.19823968342936027</v>
      </c>
      <c r="S71" s="74">
        <f t="shared" si="14"/>
        <v>-2.2043242049875511</v>
      </c>
      <c r="T71" s="74">
        <f t="shared" si="14"/>
        <v>-2.9147512860311702</v>
      </c>
      <c r="U71" s="74">
        <f t="shared" si="14"/>
        <v>3.2023640696268014</v>
      </c>
      <c r="V71" s="74">
        <f t="shared" si="14"/>
        <v>-2.7154473707555962</v>
      </c>
      <c r="W71" s="74">
        <f t="shared" si="14"/>
        <v>-2.4545916993312211</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Cornwall</v>
      </c>
      <c r="G76" s="88"/>
      <c r="H76" s="89"/>
      <c r="I76" s="76">
        <f>VLOOKUP($F76,'SKILLED EMPLOYMENT'!$A$1506:$BW$1841,6,FALSE)</f>
        <v>50.9</v>
      </c>
      <c r="J76" s="77">
        <f>VLOOKUP($F76,'SKILLED EMPLOYMENT'!$A$1506:$BW$1841,10,FALSE)</f>
        <v>49.900000000000006</v>
      </c>
      <c r="K76" s="77">
        <f>VLOOKUP($F76,'SKILLED EMPLOYMENT'!$A$1506:$BW$1841,14,FALSE)</f>
        <v>53.5</v>
      </c>
      <c r="L76" s="77">
        <f>VLOOKUP($F76,'SKILLED EMPLOYMENT'!$A$1506:$BW$1841,18,FALSE)</f>
        <v>54.599999999999994</v>
      </c>
      <c r="M76" s="77">
        <f>VLOOKUP($F76,'SKILLED EMPLOYMENT'!$A$1506:$BW$1841,22,FALSE)</f>
        <v>56.2</v>
      </c>
      <c r="N76" s="77">
        <f>VLOOKUP($F76,'SKILLED EMPLOYMENT'!$A$1506:$BW$1841,26,FALSE)</f>
        <v>52.2</v>
      </c>
      <c r="O76" s="77">
        <f>VLOOKUP($F76,'SKILLED EMPLOYMENT'!$A$1506:$BW$1841,30,FALSE)</f>
        <v>52.7</v>
      </c>
      <c r="P76" s="77">
        <f>VLOOKUP($F76,'SKILLED EMPLOYMENT'!$A$1506:$BW$1841,34,FALSE)</f>
        <v>54.1</v>
      </c>
      <c r="Q76" s="77">
        <f>VLOOKUP($F76,'SKILLED EMPLOYMENT'!$A$1506:$BW$1841,38,FALSE)</f>
        <v>51.5</v>
      </c>
      <c r="R76" s="77">
        <f>VLOOKUP($F76,'SKILLED EMPLOYMENT'!$A$1506:$BW$1841,42,FALSE)</f>
        <v>49.099999999999994</v>
      </c>
      <c r="S76" s="77">
        <f>VLOOKUP($F76,'SKILLED EMPLOYMENT'!$A$1506:$BW$1841,46,FALSE)</f>
        <v>53.8</v>
      </c>
      <c r="T76" s="77">
        <f>VLOOKUP($F76,'SKILLED EMPLOYMENT'!$A$1506:$BW$1841,50,FALSE)</f>
        <v>52.5</v>
      </c>
      <c r="U76" s="77">
        <f>VLOOKUP($F76,'SKILLED EMPLOYMENT'!$A$1506:$BW$1841,54,FALSE)</f>
        <v>56.5</v>
      </c>
      <c r="V76" s="77">
        <f>VLOOKUP($F76,'SKILLED EMPLOYMENT'!$A$1506:$BW$1841,58,FALSE)</f>
        <v>55.2</v>
      </c>
      <c r="W76" s="77">
        <f>VLOOKUP($F76,'SKILLED EMPLOYMENT'!$A$1506:$BW$1841,62,FALSE)</f>
        <v>51.900000000000006</v>
      </c>
      <c r="X76" s="77">
        <f>VLOOKUP($F76,'SKILLED EMPLOYMENT'!$A$1506:$BW$1841,66,FALSE)</f>
        <v>53</v>
      </c>
      <c r="Y76" s="77">
        <f>VLOOKUP($F76,'SKILLED EMPLOYMENT'!$A$1506:$BW$1841,70,FALSE)</f>
        <v>53.900000000000006</v>
      </c>
      <c r="Z76" s="77">
        <f>VLOOKUP($F76,'SKILLED EMPLOYMENT'!$A$1506:$BW$1841,74,FALSE)</f>
        <v>54.599999999999994</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Cornwall to Rural as a Region</v>
      </c>
      <c r="G79" s="122"/>
      <c r="H79" s="123"/>
      <c r="I79" s="74">
        <f>(I76-I77)</f>
        <v>-1.8000000000000043</v>
      </c>
      <c r="J79" s="74">
        <f t="shared" ref="J79:Z79" si="17">(J76-J77)</f>
        <v>-2.9999999999999929</v>
      </c>
      <c r="K79" s="74">
        <f t="shared" si="17"/>
        <v>0</v>
      </c>
      <c r="L79" s="74">
        <f t="shared" si="17"/>
        <v>0.59999999999999432</v>
      </c>
      <c r="M79" s="74">
        <f t="shared" si="17"/>
        <v>2.1000000000000014</v>
      </c>
      <c r="N79" s="74">
        <f t="shared" si="17"/>
        <v>-2.1999999999999957</v>
      </c>
      <c r="O79" s="74">
        <f t="shared" si="17"/>
        <v>-2.6999999999999957</v>
      </c>
      <c r="P79" s="74">
        <f t="shared" si="17"/>
        <v>-1.5</v>
      </c>
      <c r="Q79" s="74">
        <f t="shared" si="17"/>
        <v>-3.8999999999999986</v>
      </c>
      <c r="R79" s="74">
        <f t="shared" si="17"/>
        <v>-7.1000000000000085</v>
      </c>
      <c r="S79" s="74">
        <f t="shared" si="17"/>
        <v>-2.4000000000000057</v>
      </c>
      <c r="T79" s="74">
        <f t="shared" si="17"/>
        <v>-4.2999999999999972</v>
      </c>
      <c r="U79" s="74">
        <f t="shared" si="17"/>
        <v>-0.10000000000000142</v>
      </c>
      <c r="V79" s="74">
        <f t="shared" si="17"/>
        <v>-1.8999999999999986</v>
      </c>
      <c r="W79" s="74">
        <f t="shared" si="17"/>
        <v>-5.8999999999999915</v>
      </c>
      <c r="X79" s="74">
        <f t="shared" si="17"/>
        <v>-5.7999999999999972</v>
      </c>
      <c r="Y79" s="74">
        <f t="shared" si="17"/>
        <v>-4.7999999999999972</v>
      </c>
      <c r="Z79" s="74">
        <f t="shared" si="17"/>
        <v>-3.8000000000000043</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TqUP3dg+NO9nAKYk8RurRJwsv7Gzk5f3Q9zgmj1lb5AXH3iRYNUF2vA4Rxo8C+EDbksBQIAaBauvIRtRycAnLA==" saltValue="aLU8uBrNMZQ2bD1VqRNFbQ=="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2022-06-10T14:14:16Z</cp:lastPrinted>
  <dcterms:created xsi:type="dcterms:W3CDTF">2022-05-30T09:14:22Z</dcterms:created>
  <dcterms:modified xsi:type="dcterms:W3CDTF">2022-08-02T10:59:20Z</dcterms:modified>
</cp:coreProperties>
</file>