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0213356D-2BC0-430B-9D32-8D3A8D69EB63}" xr6:coauthVersionLast="47" xr6:coauthVersionMax="47" xr10:uidLastSave="{25C636A9-514C-42CC-A85E-63D6481360E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<sst xmlns="http://schemas.openxmlformats.org/spreadsheetml/2006/main" count="32859" uniqueCount="1676">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</sst>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Cotswold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34.130000000000003</c:v>
                </c:pt>
                <c:pt idx="1">
                  <c:v>33.64</c:v>
                </c:pt>
                <c:pt idx="2">
                  <c:v>36.64</c:v>
                </c:pt>
                <c:pt idx="3">
                  <c:v>38.479999999999997</c:v>
                </c:pt>
                <c:pt idx="4">
                  <c:v>39.450000000000003</c:v>
                </c:pt>
                <c:pt idx="5">
                  <c:v>40.31</c:v>
                </c:pt>
                <c:pt idx="6">
                  <c:v>40.15</c:v>
                </c:pt>
                <c:pt idx="7">
                  <c:v>39.549999999999997</c:v>
                </c:pt>
                <c:pt idx="8">
                  <c:v>38.96</c:v>
                </c:pt>
                <c:pt idx="9">
                  <c:v>38.72</c:v>
                </c:pt>
                <c:pt idx="10">
                  <c:v>38.76</c:v>
                </c:pt>
                <c:pt idx="11">
                  <c:v>39.11</c:v>
                </c:pt>
                <c:pt idx="12">
                  <c:v>40.49</c:v>
                </c:pt>
                <c:pt idx="13">
                  <c:v>42.66</c:v>
                </c:pt>
                <c:pt idx="14">
                  <c:v>44.57</c:v>
                </c:pt>
                <c:pt idx="15">
                  <c:v>45.53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Cotswold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386.5</c:v>
                </c:pt>
                <c:pt idx="1">
                  <c:v>409.3</c:v>
                </c:pt>
                <c:pt idx="2">
                  <c:v>405.7</c:v>
                </c:pt>
                <c:pt idx="3">
                  <c:v>409.8</c:v>
                </c:pt>
                <c:pt idx="4">
                  <c:v>421.2</c:v>
                </c:pt>
                <c:pt idx="5">
                  <c:v>413.4</c:v>
                </c:pt>
                <c:pt idx="6">
                  <c:v>443.8</c:v>
                </c:pt>
                <c:pt idx="7">
                  <c:v>480.7</c:v>
                </c:pt>
                <c:pt idx="8">
                  <c:v>479.1</c:v>
                </c:pt>
                <c:pt idx="9">
                  <c:v>479.1</c:v>
                </c:pt>
                <c:pt idx="10">
                  <c:v>499.7</c:v>
                </c:pt>
                <c:pt idx="11">
                  <c:v>494.4</c:v>
                </c:pt>
                <c:pt idx="12">
                  <c:v>479.1</c:v>
                </c:pt>
                <c:pt idx="13">
                  <c:v>499.1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Cotswold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79.7</c:v>
                </c:pt>
                <c:pt idx="1">
                  <c:v>80.3</c:v>
                </c:pt>
                <c:pt idx="2">
                  <c:v>86.3</c:v>
                </c:pt>
                <c:pt idx="3">
                  <c:v>82.8</c:v>
                </c:pt>
                <c:pt idx="4">
                  <c:v>81.400000000000006</c:v>
                </c:pt>
                <c:pt idx="5">
                  <c:v>80.099999999999994</c:v>
                </c:pt>
                <c:pt idx="6">
                  <c:v>71.900000000000006</c:v>
                </c:pt>
                <c:pt idx="7">
                  <c:v>75.900000000000006</c:v>
                </c:pt>
                <c:pt idx="8">
                  <c:v>72.8</c:v>
                </c:pt>
                <c:pt idx="9">
                  <c:v>76.2</c:v>
                </c:pt>
                <c:pt idx="10">
                  <c:v>76.7</c:v>
                </c:pt>
                <c:pt idx="11">
                  <c:v>78.8</c:v>
                </c:pt>
                <c:pt idx="12">
                  <c:v>81.7</c:v>
                </c:pt>
                <c:pt idx="13">
                  <c:v>85.5</c:v>
                </c:pt>
                <c:pt idx="14">
                  <c:v>78</c:v>
                </c:pt>
                <c:pt idx="15">
                  <c:v>77.7</c:v>
                </c:pt>
                <c:pt idx="16">
                  <c:v>79.8</c:v>
                </c:pt>
                <c:pt idx="17">
                  <c:v>82.6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Cotswold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18673</c:v>
                </c:pt>
                <c:pt idx="1">
                  <c:v>19998</c:v>
                </c:pt>
                <c:pt idx="2">
                  <c:v>20711</c:v>
                </c:pt>
                <c:pt idx="3">
                  <c:v>21749</c:v>
                </c:pt>
                <c:pt idx="4">
                  <c:v>22516</c:v>
                </c:pt>
                <c:pt idx="5">
                  <c:v>22068</c:v>
                </c:pt>
                <c:pt idx="6">
                  <c:v>22627</c:v>
                </c:pt>
                <c:pt idx="7">
                  <c:v>22617</c:v>
                </c:pt>
                <c:pt idx="8">
                  <c:v>23439</c:v>
                </c:pt>
                <c:pt idx="9">
                  <c:v>24361</c:v>
                </c:pt>
                <c:pt idx="10">
                  <c:v>25617</c:v>
                </c:pt>
                <c:pt idx="11">
                  <c:v>27066</c:v>
                </c:pt>
                <c:pt idx="12">
                  <c:v>27253</c:v>
                </c:pt>
                <c:pt idx="13">
                  <c:v>26807</c:v>
                </c:pt>
                <c:pt idx="14">
                  <c:v>28566</c:v>
                </c:pt>
                <c:pt idx="15">
                  <c:v>29350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Cotswold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20.6</c:v>
                </c:pt>
                <c:pt idx="1">
                  <c:v>20.5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Cotswold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17.5</c:v>
                </c:pt>
                <c:pt idx="1">
                  <c:v>18.3</c:v>
                </c:pt>
                <c:pt idx="2">
                  <c:v>12.6</c:v>
                </c:pt>
                <c:pt idx="3">
                  <c:v>14.9</c:v>
                </c:pt>
                <c:pt idx="4">
                  <c:v>17.600000000000001</c:v>
                </c:pt>
                <c:pt idx="5">
                  <c:v>18.3</c:v>
                </c:pt>
                <c:pt idx="6">
                  <c:v>25.9</c:v>
                </c:pt>
                <c:pt idx="7">
                  <c:v>19.899999999999999</c:v>
                </c:pt>
                <c:pt idx="8">
                  <c:v>23.4</c:v>
                </c:pt>
                <c:pt idx="9">
                  <c:v>21.3</c:v>
                </c:pt>
                <c:pt idx="10">
                  <c:v>20.6</c:v>
                </c:pt>
                <c:pt idx="11">
                  <c:v>20.5</c:v>
                </c:pt>
                <c:pt idx="12">
                  <c:v>13.6</c:v>
                </c:pt>
                <c:pt idx="13">
                  <c:v>13.2</c:v>
                </c:pt>
                <c:pt idx="14">
                  <c:v>20.9</c:v>
                </c:pt>
                <c:pt idx="15">
                  <c:v>21.5</c:v>
                </c:pt>
                <c:pt idx="16">
                  <c:v>15.7</c:v>
                </c:pt>
                <c:pt idx="17">
                  <c:v>15.7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Cotswold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20.6</c:v>
                </c:pt>
                <c:pt idx="1">
                  <c:v>25.599999999999994</c:v>
                </c:pt>
                <c:pt idx="2">
                  <c:v>44.400000000000006</c:v>
                </c:pt>
                <c:pt idx="3">
                  <c:v>40.700000000000003</c:v>
                </c:pt>
                <c:pt idx="4">
                  <c:v>33.900000000000006</c:v>
                </c:pt>
                <c:pt idx="5">
                  <c:v>5.9000000000000057</c:v>
                </c:pt>
                <c:pt idx="6">
                  <c:v>-3.7000000000000028</c:v>
                </c:pt>
                <c:pt idx="7">
                  <c:v>16.700000000000003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Cotswold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16.979929111305982</c:v>
                </c:pt>
                <c:pt idx="1">
                  <c:v>9.7832398332278281</c:v>
                </c:pt>
                <c:pt idx="2">
                  <c:v>8.7113067532554886</c:v>
                </c:pt>
                <c:pt idx="3">
                  <c:v>4.2554677422803104</c:v>
                </c:pt>
                <c:pt idx="4">
                  <c:v>10.042824136527074</c:v>
                </c:pt>
                <c:pt idx="5">
                  <c:v>0</c:v>
                </c:pt>
                <c:pt idx="6">
                  <c:v>7.9241071428571423</c:v>
                </c:pt>
                <c:pt idx="7">
                  <c:v>4.4809228039041704</c:v>
                </c:pt>
                <c:pt idx="8">
                  <c:v>0</c:v>
                </c:pt>
                <c:pt idx="9">
                  <c:v>18.155541504832446</c:v>
                </c:pt>
                <c:pt idx="10">
                  <c:v>0</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Cotswold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57</c:v>
                </c:pt>
                <c:pt idx="1">
                  <c:v>52</c:v>
                </c:pt>
                <c:pt idx="2">
                  <c:v>54.599999999999994</c:v>
                </c:pt>
                <c:pt idx="3">
                  <c:v>54.300000000000004</c:v>
                </c:pt>
                <c:pt idx="4">
                  <c:v>54.599999999999994</c:v>
                </c:pt>
                <c:pt idx="5">
                  <c:v>54</c:v>
                </c:pt>
                <c:pt idx="6">
                  <c:v>62.5</c:v>
                </c:pt>
                <c:pt idx="7">
                  <c:v>60.4</c:v>
                </c:pt>
                <c:pt idx="8">
                  <c:v>53.8</c:v>
                </c:pt>
                <c:pt idx="9">
                  <c:v>60</c:v>
                </c:pt>
                <c:pt idx="10">
                  <c:v>64.900000000000006</c:v>
                </c:pt>
                <c:pt idx="11">
                  <c:v>67.099999999999994</c:v>
                </c:pt>
                <c:pt idx="12">
                  <c:v>71.400000000000006</c:v>
                </c:pt>
                <c:pt idx="13">
                  <c:v>66.8</c:v>
                </c:pt>
                <c:pt idx="14">
                  <c:v>66.2</c:v>
                </c:pt>
                <c:pt idx="15">
                  <c:v>71.400000000000006</c:v>
                </c:pt>
                <c:pt idx="16">
                  <c:v>64.8</c:v>
                </c:pt>
                <c:pt idx="17">
                  <c:v>71</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the Cotswold area is consistently greater than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in the Cotswold area is consistently and markedly greater than the England and rural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in the Cotswold area is below both that of England and 'Rural as a Region' in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Cotswold's economic inactivity rate has fluctuated taking it both above as well as below the proportions seen for </a:t>
          </a:r>
          <a:r>
            <a:rPr lang="en-GB" sz="1100">
              <a:latin typeface="Avenir Next LT Pro" panose="020B0504020202020204" pitchFamily="34" charset="0"/>
            </a:rPr>
            <a:t>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the Cotswold area from 2014 to 2021 peaked in 2016 but subsequently dropped to being negative in 2020 before rising again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the Cotswold area has been less stable and combined with data unavailability makes identifying any consistent pattern impossible.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167640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744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Cotswold area in general has a higher proportion of employed people in skilled employment than seen for 'Rural as a Region', with the gap to rural widening from 2004 to 2021.</a:t>
          </a:r>
          <a:endParaRPr lang="en-GB" sz="1100">
            <a:latin typeface="Avenir Next LT Pro" panose="020B0504020202020204" pitchFamily="34" charset="0"/>
          </a:endParaRPr>
        </a:p>
      </xdr:txBody>
    </xdr:sp>
    <xdr:clientData/>
  </xdr:twoCellAnchor>
  <xdr:twoCellAnchor>
    <xdr:from>
      <xdr:col>0</xdr:col>
      <xdr:colOff>601980</xdr:colOff>
      <xdr:row>20</xdr:row>
      <xdr:rowOff>579120</xdr:rowOff>
    </xdr:from>
    <xdr:to>
      <xdr:col>1</xdr:col>
      <xdr:colOff>2583180</xdr:colOff>
      <xdr:row>22</xdr:row>
      <xdr:rowOff>106680</xdr:rowOff>
    </xdr:to>
    <xdr:sp macro="" textlink="">
      <xdr:nvSpPr>
        <xdr:cNvPr id="20" name="TextBox 19">
          <a:extLst>
            <a:ext uri="{FF2B5EF4-FFF2-40B4-BE49-F238E27FC236}">
              <a16:creationId xmlns:a16="http://schemas.microsoft.com/office/drawing/2014/main" id="{380D9E50-5A93-4A41-A5CF-68C287399D82}"/>
            </a:ext>
          </a:extLst>
        </xdr:cNvPr>
        <xdr:cNvSpPr txBox="1"/>
      </xdr:nvSpPr>
      <xdr:spPr>
        <a:xfrm>
          <a:off x="601980" y="75057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the Cotswold area has fluctuated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579120</xdr:colOff>
      <xdr:row>12</xdr:row>
      <xdr:rowOff>502920</xdr:rowOff>
    </xdr:from>
    <xdr:to>
      <xdr:col>1</xdr:col>
      <xdr:colOff>2560320</xdr:colOff>
      <xdr:row>14</xdr:row>
      <xdr:rowOff>7620</xdr:rowOff>
    </xdr:to>
    <xdr:sp macro="" textlink="">
      <xdr:nvSpPr>
        <xdr:cNvPr id="21" name="TextBox 20">
          <a:extLst>
            <a:ext uri="{FF2B5EF4-FFF2-40B4-BE49-F238E27FC236}">
              <a16:creationId xmlns:a16="http://schemas.microsoft.com/office/drawing/2014/main" id="{3E0C2A52-42A4-4431-B095-0929F77AA161}"/>
            </a:ext>
          </a:extLst>
        </xdr:cNvPr>
        <xdr:cNvSpPr txBox="1"/>
      </xdr:nvSpPr>
      <xdr:spPr>
        <a:xfrm>
          <a:off x="57912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The GVA per hour worked in the Cotswold area is markedly and consistently greater than that of England or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442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Cotswold</v>
      </c>
      <c r="G12" s="88" t="str">
        <f>IFERROR(VLOOKUP(F12,GVA!B244:B552,1,FALSE),VLOOKUP(F12,GVA!B6:C230,2,FALSE))</f>
        <v>Cotswold</v>
      </c>
      <c r="H12" s="89" t="str">
        <f>IF(F12=G12,"",G12)</f>
        <v/>
      </c>
      <c r="I12" s="76">
        <f>IFERROR(VLOOKUP($F12,GVA!$B$7:$S$230,GVA!D$3,FALSE),VLOOKUP($F12,GVA!$B$244:$T$554,GVA!E$3,FALSE))</f>
        <v>34.130000000000003</v>
      </c>
      <c r="J12" s="77">
        <f>IFERROR(VLOOKUP($F12,GVA!$B$7:$S$230,GVA!E$3,FALSE),VLOOKUP($F12,GVA!$B$244:$T$554,GVA!F$3,FALSE))</f>
        <v>33.64</v>
      </c>
      <c r="K12" s="77">
        <f>IFERROR(VLOOKUP($F12,GVA!$B$7:$S$230,GVA!F$3,FALSE),VLOOKUP($F12,GVA!$B$244:$T$554,GVA!G$3,FALSE))</f>
        <v>36.64</v>
      </c>
      <c r="L12" s="77">
        <f>IFERROR(VLOOKUP($F12,GVA!$B$7:$S$230,GVA!G$3,FALSE),VLOOKUP($F12,GVA!$B$244:$T$554,GVA!H$3,FALSE))</f>
        <v>38.479999999999997</v>
      </c>
      <c r="M12" s="77">
        <f>IFERROR(VLOOKUP($F12,GVA!$B$7:$S$230,GVA!H$3,FALSE),VLOOKUP($F12,GVA!$B$244:$T$554,GVA!I$3,FALSE))</f>
        <v>39.450000000000003</v>
      </c>
      <c r="N12" s="77">
        <f>IFERROR(VLOOKUP($F12,GVA!$B$7:$S$230,GVA!I$3,FALSE),VLOOKUP($F12,GVA!$B$244:$T$554,GVA!J$3,FALSE))</f>
        <v>40.31</v>
      </c>
      <c r="O12" s="77">
        <f>IFERROR(VLOOKUP($F12,GVA!$B$7:$S$230,GVA!J$3,FALSE),VLOOKUP($F12,GVA!$B$244:$T$554,GVA!K$3,FALSE))</f>
        <v>40.15</v>
      </c>
      <c r="P12" s="77">
        <f>IFERROR(VLOOKUP($F12,GVA!$B$7:$S$230,GVA!K$3,FALSE),VLOOKUP($F12,GVA!$B$244:$T$554,GVA!L$3,FALSE))</f>
        <v>39.549999999999997</v>
      </c>
      <c r="Q12" s="77">
        <f>IFERROR(VLOOKUP($F12,GVA!$B$7:$S$230,GVA!L$3,FALSE),VLOOKUP($F12,GVA!$B$244:$T$554,GVA!M$3,FALSE))</f>
        <v>38.96</v>
      </c>
      <c r="R12" s="77">
        <f>IFERROR(VLOOKUP($F12,GVA!$B$7:$S$230,GVA!M$3,FALSE),VLOOKUP($F12,GVA!$B$244:$T$554,GVA!N$3,FALSE))</f>
        <v>38.72</v>
      </c>
      <c r="S12" s="77">
        <f>IFERROR(VLOOKUP($F12,GVA!$B$7:$S$230,GVA!N$3,FALSE),VLOOKUP($F12,GVA!$B$244:$T$554,GVA!O$3,FALSE))</f>
        <v>38.76</v>
      </c>
      <c r="T12" s="77">
        <f>IFERROR(VLOOKUP($F12,GVA!$B$7:$S$230,GVA!O$3,FALSE),VLOOKUP($F12,GVA!$B$244:$T$554,GVA!P$3,FALSE))</f>
        <v>39.11</v>
      </c>
      <c r="U12" s="77">
        <f>IFERROR(VLOOKUP($F12,GVA!$B$7:$S$230,GVA!P$3,FALSE),VLOOKUP($F12,GVA!$B$244:$T$554,GVA!Q$3,FALSE))</f>
        <v>40.49</v>
      </c>
      <c r="V12" s="77">
        <f>IFERROR(VLOOKUP($F12,GVA!$B$7:$S$230,GVA!Q$3,FALSE),VLOOKUP($F12,GVA!$B$244:$T$554,GVA!R$3,FALSE))</f>
        <v>42.66</v>
      </c>
      <c r="W12" s="77">
        <f>IFERROR(VLOOKUP($F12,GVA!$B$7:$S$230,GVA!R$3,FALSE),VLOOKUP($F12,GVA!$B$244:$T$554,GVA!S$3,FALSE))</f>
        <v>44.57</v>
      </c>
      <c r="X12" s="77">
        <f>IFERROR(VLOOKUP($F12,GVA!$B$7:$S$230,GVA!S$3,FALSE),VLOOKUP($F12,GVA!$B$244:$T$554,GVA!T$3,FALSE))</f>
        <v>45.53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Cotswold to Rural as a Region</v>
      </c>
      <c r="G15" s="122"/>
      <c r="H15" s="123"/>
      <c r="I15" s="74">
        <f>100*((I12-I13)/I13)</f>
        <v>44.98652250211147</v>
      </c>
      <c r="J15" s="74">
        <f t="shared" ref="J15:X15" si="0">100*((J12-J13)/J13)</f>
        <v>43.302837900886466</v>
      </c>
      <c r="K15" s="74">
        <f t="shared" si="0"/>
        <v>50.757520095222617</v>
      </c>
      <c r="L15" s="74">
        <f t="shared" si="0"/>
        <v>54.920342784839207</v>
      </c>
      <c r="M15" s="74">
        <f t="shared" si="0"/>
        <v>56.147071712302662</v>
      </c>
      <c r="N15" s="74">
        <f t="shared" si="0"/>
        <v>58.247612994284268</v>
      </c>
      <c r="O15" s="74">
        <f t="shared" si="0"/>
        <v>55.679777692637956</v>
      </c>
      <c r="P15" s="74">
        <f t="shared" si="0"/>
        <v>51.100437992058843</v>
      </c>
      <c r="Q15" s="74">
        <f t="shared" si="0"/>
        <v>45.859072068458332</v>
      </c>
      <c r="R15" s="74">
        <f t="shared" si="0"/>
        <v>42.48951857741789</v>
      </c>
      <c r="S15" s="74">
        <f t="shared" si="0"/>
        <v>40.309506263817191</v>
      </c>
      <c r="T15" s="74">
        <f t="shared" si="0"/>
        <v>38.943682224966608</v>
      </c>
      <c r="U15" s="74">
        <f t="shared" si="0"/>
        <v>40.409774141212353</v>
      </c>
      <c r="V15" s="74">
        <f t="shared" si="0"/>
        <v>44.02025601350401</v>
      </c>
      <c r="W15" s="74">
        <f t="shared" si="0"/>
        <v>47.414841968901818</v>
      </c>
      <c r="X15" s="74">
        <f t="shared" si="0"/>
        <v>49.027981810459352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Cotswold</v>
      </c>
      <c r="G20" s="88"/>
      <c r="H20" s="89"/>
      <c r="I20" s="80">
        <f>IF(VLOOKUP($F20,PAY!$A$11:$AE$349,4,FALSE)="-",#N/A,VLOOKUP($F20,PAY!$A$11:$AE$349,4,FALSE))</f>
        <v>386.5</v>
      </c>
      <c r="J20" s="80">
        <f>IF(VLOOKUP($F20,PAY!$A$11:$AE$349,6,FALSE)="-",#N/A,VLOOKUP($F20,PAY!$A$11:$AE$349,6,FALSE))</f>
        <v>409.3</v>
      </c>
      <c r="K20" s="80">
        <f>IF(VLOOKUP($F20,PAY!$A$11:$AE$349,8,FALSE)="-",#N/A,VLOOKUP($F20,PAY!$A$11:$AE$349,8,FALSE))</f>
        <v>405.7</v>
      </c>
      <c r="L20" s="80">
        <f>IF(VLOOKUP($F20,PAY!$A$11:$AE$349,10,FALSE)="-",#N/A,VLOOKUP($F20,PAY!$A$11:$AE$349,10,FALSE))</f>
        <v>409.8</v>
      </c>
      <c r="M20" s="80">
        <f>IF(VLOOKUP($F20,PAY!$A$11:$AE$349,12,FALSE)="-",#N/A,VLOOKUP($F20,PAY!$A$11:$AE$349,12,FALSE))</f>
        <v>421.2</v>
      </c>
      <c r="N20" s="80">
        <f>IF(VLOOKUP($F20,PAY!$A$11:$AE$349,14,FALSE)="-",#N/A,VLOOKUP($F20,PAY!$A$11:$AE$349,14,FALSE))</f>
        <v>413.4</v>
      </c>
      <c r="O20" s="80">
        <f>IF(VLOOKUP($F20,PAY!$A$11:$AE$349,16,FALSE)="-",#N/A,VLOOKUP($F20,PAY!$A$11:$AE$349,16,FALSE))</f>
        <v>443.8</v>
      </c>
      <c r="P20" s="80">
        <f>IF(VLOOKUP($F20,PAY!$A$11:$AE$349,18,FALSE)="-",#N/A,VLOOKUP($F20,PAY!$A$11:$AE$349,18,FALSE))</f>
        <v>480.7</v>
      </c>
      <c r="Q20" s="80">
        <f>IF(VLOOKUP($F20,PAY!$A$11:$AE$349,20,FALSE)="-",#N/A,VLOOKUP($F20,PAY!$A$11:$AE$349,20,FALSE))</f>
        <v>479.1</v>
      </c>
      <c r="R20" s="80">
        <f>IF(VLOOKUP($F20,PAY!$A$11:$AE$349,22,FALSE)="-",#N/A,VLOOKUP($F20,PAY!$A$11:$AE$349,22,FALSE))</f>
        <v>479.1</v>
      </c>
      <c r="S20" s="80">
        <f>IF(VLOOKUP($F20,PAY!$A$11:$AE$349,24,FALSE)="-",#N/A,VLOOKUP($F20,PAY!$A$11:$AE$349,24,FALSE))</f>
        <v>499.7</v>
      </c>
      <c r="T20" s="80">
        <f>IF(VLOOKUP($F20,PAY!$A$11:$AE$349,26,FALSE)="-",#N/A,VLOOKUP($F20,PAY!$A$11:$AE$349,26,FALSE))</f>
        <v>494.4</v>
      </c>
      <c r="U20" s="80">
        <f>IF(VLOOKUP($F20,PAY!$A$11:$AE$349,28,FALSE)="-",#N/A,VLOOKUP($F20,PAY!$A$11:$AE$349,28,FALSE))</f>
        <v>479.1</v>
      </c>
      <c r="V20" s="80">
        <f>IF(VLOOKUP($F20,PAY!$A$11:$AE$349,30,FALSE)="-",#N/A,VLOOKUP($F20,PAY!$A$11:$AE$349,30,FALSE))</f>
        <v>499.1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Cotswold to Rural as a Region</v>
      </c>
      <c r="G23" s="122"/>
      <c r="H23" s="123"/>
      <c r="I23" s="74">
        <f>100*((I20-I21)/I21)</f>
        <v>-10.737464334159688</v>
      </c>
      <c r="J23" s="74">
        <f t="shared" ref="J23:V23" si="2">100*((J20-J21)/J21)</f>
        <v>-6.3225954111117462</v>
      </c>
      <c r="K23" s="74">
        <f t="shared" si="2"/>
        <v>-9.464731122655099</v>
      </c>
      <c r="L23" s="74">
        <f t="shared" si="2"/>
        <v>-9.0653229068356289</v>
      </c>
      <c r="M23" s="74">
        <f t="shared" si="2"/>
        <v>-7.477992003158711</v>
      </c>
      <c r="N23" s="74">
        <f t="shared" si="2"/>
        <v>-10.745929282384004</v>
      </c>
      <c r="O23" s="74">
        <f t="shared" si="2"/>
        <v>-5.7354261777627178</v>
      </c>
      <c r="P23" s="74">
        <f t="shared" si="2"/>
        <v>1.2380401429984289</v>
      </c>
      <c r="Q23" s="74">
        <f t="shared" si="2"/>
        <v>-2.1210734152074977</v>
      </c>
      <c r="R23" s="74">
        <f t="shared" si="2"/>
        <v>-4.9512185934380186</v>
      </c>
      <c r="S23" s="74">
        <f t="shared" si="2"/>
        <v>-2.8625343444855553</v>
      </c>
      <c r="T23" s="74">
        <f t="shared" si="2"/>
        <v>-7.3634808289854901</v>
      </c>
      <c r="U23" s="74">
        <f t="shared" si="2"/>
        <v>-9.7821993329854173</v>
      </c>
      <c r="V23" s="74">
        <f t="shared" si="2"/>
        <v>-11.546961443936045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Cotswold</v>
      </c>
      <c r="G28" s="88"/>
      <c r="H28" s="89"/>
      <c r="I28" s="76">
        <f>VLOOKUP($F28,EMPLOYMENT!$A$6:$BW$345,6,FALSE)</f>
        <v>79.7</v>
      </c>
      <c r="J28" s="77">
        <f>VLOOKUP($F28,EMPLOYMENT!$A$6:$BW$345,10,FALSE)</f>
        <v>80.3</v>
      </c>
      <c r="K28" s="77">
        <f>VLOOKUP($F28,EMPLOYMENT!$A$6:$BW$345,14,FALSE)</f>
        <v>86.3</v>
      </c>
      <c r="L28" s="77">
        <f>VLOOKUP($F28,EMPLOYMENT!$A$6:$BW$345,18,FALSE)</f>
        <v>82.8</v>
      </c>
      <c r="M28" s="77">
        <f>VLOOKUP($F28,EMPLOYMENT!$A$6:$BW$345,22,FALSE)</f>
        <v>81.400000000000006</v>
      </c>
      <c r="N28" s="77">
        <f>VLOOKUP($F28,EMPLOYMENT!$A$6:$BW$345,26,FALSE)</f>
        <v>80.099999999999994</v>
      </c>
      <c r="O28" s="77">
        <f>VLOOKUP($F28,EMPLOYMENT!$A$6:$BW$345,30,FALSE)</f>
        <v>71.900000000000006</v>
      </c>
      <c r="P28" s="77">
        <f>VLOOKUP($F28,EMPLOYMENT!$A$6:$BW$345,34,FALSE)</f>
        <v>75.900000000000006</v>
      </c>
      <c r="Q28" s="77">
        <f>VLOOKUP($F28,EMPLOYMENT!$A$6:$BW$345,38,FALSE)</f>
        <v>72.8</v>
      </c>
      <c r="R28" s="77">
        <f>VLOOKUP($F28,EMPLOYMENT!$A$6:$BW$345,42,FALSE)</f>
        <v>76.2</v>
      </c>
      <c r="S28" s="77">
        <f>VLOOKUP($F28,EMPLOYMENT!$A$6:$BW$345,46,FALSE)</f>
        <v>76.7</v>
      </c>
      <c r="T28" s="77">
        <f>VLOOKUP($F28,EMPLOYMENT!$A$6:$BW$345,50,FALSE)</f>
        <v>78.8</v>
      </c>
      <c r="U28" s="77">
        <f>VLOOKUP($F28,EMPLOYMENT!$A$6:$BW$345,54,FALSE)</f>
        <v>81.7</v>
      </c>
      <c r="V28" s="77">
        <f>VLOOKUP($F28,EMPLOYMENT!$A$6:$BW$345,58,FALSE)</f>
        <v>85.5</v>
      </c>
      <c r="W28" s="77">
        <f>VLOOKUP($F28,EMPLOYMENT!$A$6:$BW$345,62,FALSE)</f>
        <v>78</v>
      </c>
      <c r="X28" s="77">
        <f>VLOOKUP($F28,EMPLOYMENT!$A$6:$BW$345,66,FALSE)</f>
        <v>77.7</v>
      </c>
      <c r="Y28" s="77">
        <f>VLOOKUP($F28,EMPLOYMENT!$A$6:$BW$345,70,FALSE)</f>
        <v>79.8</v>
      </c>
      <c r="Z28" s="77">
        <f>VLOOKUP($F28,EMPLOYMENT!$A$6:$BW$345,74,FALSE)</f>
        <v>82.6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Cotswold to Rural as a Region</v>
      </c>
      <c r="G31" s="122"/>
      <c r="H31" s="123"/>
      <c r="I31" s="74">
        <f>(I28-I29)</f>
        <v>3.5886580805982646</v>
      </c>
      <c r="J31" s="74">
        <f t="shared" ref="J31:Z31" si="4">(J28-J29)</f>
        <v>3.9870245333170402</v>
      </c>
      <c r="K31" s="74">
        <f t="shared" si="4"/>
        <v>10.426811100513234</v>
      </c>
      <c r="L31" s="74">
        <f t="shared" si="4"/>
        <v>7.1595316973721594</v>
      </c>
      <c r="M31" s="74">
        <f t="shared" si="4"/>
        <v>5.6644756266682634</v>
      </c>
      <c r="N31" s="74">
        <f t="shared" si="4"/>
        <v>5.5904601571268131</v>
      </c>
      <c r="O31" s="74">
        <f t="shared" si="4"/>
        <v>-1.6471331389698634</v>
      </c>
      <c r="P31" s="74">
        <f t="shared" si="4"/>
        <v>2.1657045967223922</v>
      </c>
      <c r="Q31" s="74">
        <f t="shared" si="4"/>
        <v>-1.2331574754625763</v>
      </c>
      <c r="R31" s="74">
        <f t="shared" si="4"/>
        <v>1.4555250700997959</v>
      </c>
      <c r="S31" s="74">
        <f t="shared" si="4"/>
        <v>0.59113965992439432</v>
      </c>
      <c r="T31" s="74">
        <f t="shared" si="4"/>
        <v>1.6094680243909778</v>
      </c>
      <c r="U31" s="74">
        <f t="shared" si="4"/>
        <v>4.7283675182919609</v>
      </c>
      <c r="V31" s="74">
        <f t="shared" si="4"/>
        <v>7.4672131147541023</v>
      </c>
      <c r="W31" s="74">
        <f t="shared" si="4"/>
        <v>-4.8156893414144974E-2</v>
      </c>
      <c r="X31" s="74">
        <f t="shared" si="4"/>
        <v>-0.89129937895670253</v>
      </c>
      <c r="Y31" s="74">
        <f t="shared" si="4"/>
        <v>2.7856537038707927</v>
      </c>
      <c r="Z31" s="74">
        <f t="shared" si="4"/>
        <v>6.4442419221209519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Cotswold</v>
      </c>
      <c r="G36" s="88" t="str">
        <f>IFERROR(VLOOKUP(F36,GDHI!B338:C574,2,FALSE),VLOOKUP(F36,GDHI!C3:C336,1,FALSE))</f>
        <v>Cotswold</v>
      </c>
      <c r="H36" s="89" t="str">
        <f>IF(F36=G36,"",G36)</f>
        <v/>
      </c>
      <c r="I36" s="83">
        <f>IFERROR(VLOOKUP($F36,GDHI!$B$338:$U$574,GDHI!G$578,FALSE),VLOOKUP($F36,GDHI!$C$3:$U$336,GDHI!F$578,FALSE))</f>
        <v>18673</v>
      </c>
      <c r="J36" s="84">
        <f>IFERROR(VLOOKUP($F36,GDHI!$B$338:$U$574,GDHI!H$578,FALSE),VLOOKUP($F36,GDHI!$C$3:$U$336,GDHI!G$578,FALSE))</f>
        <v>19998</v>
      </c>
      <c r="K36" s="84">
        <f>IFERROR(VLOOKUP($F36,GDHI!$B$338:$U$574,GDHI!I$578,FALSE),VLOOKUP($F36,GDHI!$C$3:$U$336,GDHI!H$578,FALSE))</f>
        <v>20711</v>
      </c>
      <c r="L36" s="84">
        <f>IFERROR(VLOOKUP($F36,GDHI!$B$338:$U$574,GDHI!J$578,FALSE),VLOOKUP($F36,GDHI!$C$3:$U$336,GDHI!I$578,FALSE))</f>
        <v>21749</v>
      </c>
      <c r="M36" s="84">
        <f>IFERROR(VLOOKUP($F36,GDHI!$B$338:$U$574,GDHI!K$578,FALSE),VLOOKUP($F36,GDHI!$C$3:$U$336,GDHI!J$578,FALSE))</f>
        <v>22516</v>
      </c>
      <c r="N36" s="84">
        <f>IFERROR(VLOOKUP($F36,GDHI!$B$338:$U$574,GDHI!L$578,FALSE),VLOOKUP($F36,GDHI!$C$3:$U$336,GDHI!K$578,FALSE))</f>
        <v>22068</v>
      </c>
      <c r="O36" s="84">
        <f>IFERROR(VLOOKUP($F36,GDHI!$B$338:$U$574,GDHI!M$578,FALSE),VLOOKUP($F36,GDHI!$C$3:$U$336,GDHI!L$578,FALSE))</f>
        <v>22627</v>
      </c>
      <c r="P36" s="84">
        <f>IFERROR(VLOOKUP($F36,GDHI!$B$338:$U$574,GDHI!N$578,FALSE),VLOOKUP($F36,GDHI!$C$3:$U$336,GDHI!M$578,FALSE))</f>
        <v>22617</v>
      </c>
      <c r="Q36" s="84">
        <f>IFERROR(VLOOKUP($F36,GDHI!$B$338:$U$574,GDHI!O$578,FALSE),VLOOKUP($F36,GDHI!$C$3:$U$336,GDHI!N$578,FALSE))</f>
        <v>23439</v>
      </c>
      <c r="R36" s="84">
        <f>IFERROR(VLOOKUP($F36,GDHI!$B$338:$U$574,GDHI!P$578,FALSE),VLOOKUP($F36,GDHI!$C$3:$U$336,GDHI!O$578,FALSE))</f>
        <v>24361</v>
      </c>
      <c r="S36" s="84">
        <f>IFERROR(VLOOKUP($F36,GDHI!$B$338:$U$574,GDHI!Q$578,FALSE),VLOOKUP($F36,GDHI!$C$3:$U$336,GDHI!P$578,FALSE))</f>
        <v>25617</v>
      </c>
      <c r="T36" s="84">
        <f>IFERROR(VLOOKUP($F36,GDHI!$B$338:$U$574,GDHI!R$578,FALSE),VLOOKUP($F36,GDHI!$C$3:$U$336,GDHI!Q$578,FALSE))</f>
        <v>27066</v>
      </c>
      <c r="U36" s="84">
        <f>IFERROR(VLOOKUP($F36,GDHI!$B$338:$U$574,GDHI!S$578,FALSE),VLOOKUP($F36,GDHI!$C$3:$U$336,GDHI!R$578,FALSE))</f>
        <v>27253</v>
      </c>
      <c r="V36" s="84">
        <f>IFERROR(VLOOKUP($F36,GDHI!$B$338:$U$574,GDHI!T$578,FALSE),VLOOKUP($F36,GDHI!$C$3:$U$336,GDHI!S$578,FALSE))</f>
        <v>26807</v>
      </c>
      <c r="W36" s="84">
        <f>IFERROR(VLOOKUP($F36,GDHI!$B$338:$U$574,GDHI!U$578,FALSE),VLOOKUP($F36,GDHI!$C$3:$U$336,GDHI!T$578,FALSE))</f>
        <v>28566</v>
      </c>
      <c r="X36" s="84">
        <f>IFERROR(VLOOKUP($F36,GDHI!$B$338:$U$574,GDHI!V$578,FALSE),VLOOKUP($F36,GDHI!$C$3:$U$336,GDHI!U$578,FALSE))</f>
        <v>29350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Cotswold to Rural as a Region</v>
      </c>
      <c r="G39" s="122"/>
      <c r="H39" s="123"/>
      <c r="I39" s="74">
        <f>100*((I36-I37)/I37)</f>
        <v>26.945171487813997</v>
      </c>
      <c r="J39" s="74">
        <f t="shared" ref="J39:X39" si="6">100*((J36-J37)/J37)</f>
        <v>30.352818114025109</v>
      </c>
      <c r="K39" s="74">
        <f t="shared" si="6"/>
        <v>30.060083834779554</v>
      </c>
      <c r="L39" s="74">
        <f t="shared" si="6"/>
        <v>31.269710223341207</v>
      </c>
      <c r="M39" s="74">
        <f t="shared" si="6"/>
        <v>31.955183862953447</v>
      </c>
      <c r="N39" s="74">
        <f t="shared" si="6"/>
        <v>27.612943642628235</v>
      </c>
      <c r="O39" s="74">
        <f t="shared" si="6"/>
        <v>29.238677741021913</v>
      </c>
      <c r="P39" s="74">
        <f t="shared" si="6"/>
        <v>27.061457834516233</v>
      </c>
      <c r="Q39" s="74">
        <f t="shared" si="6"/>
        <v>27.61921059079296</v>
      </c>
      <c r="R39" s="74">
        <f t="shared" si="6"/>
        <v>29.072145960889628</v>
      </c>
      <c r="S39" s="74">
        <f t="shared" si="6"/>
        <v>32.073380237861571</v>
      </c>
      <c r="T39" s="74">
        <f t="shared" si="6"/>
        <v>32.298013036935671</v>
      </c>
      <c r="U39" s="74">
        <f t="shared" si="6"/>
        <v>32.136367729259348</v>
      </c>
      <c r="V39" s="74">
        <f t="shared" si="6"/>
        <v>27.862513280044698</v>
      </c>
      <c r="W39" s="74">
        <f t="shared" si="6"/>
        <v>30.785439506234734</v>
      </c>
      <c r="X39" s="74">
        <f t="shared" si="6"/>
        <v>31.820468798371991</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Cotswold</v>
      </c>
      <c r="G44" s="88"/>
      <c r="H44" s="89"/>
      <c r="I44" s="76">
        <f>VLOOKUP($F44,'LOW PAID'!$A$9:$N$444,6,FALSE)</f>
        <v>20.6</v>
      </c>
      <c r="J44" s="77">
        <f>VLOOKUP($F44,'LOW PAID'!$P$9:$W$444,6,FALSE)</f>
        <v>20.5</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Cotswold to Rural as a Region</v>
      </c>
      <c r="G47" s="122"/>
      <c r="H47" s="123"/>
      <c r="I47" s="74">
        <f>(I44-I45)</f>
        <v>-4.5938746782131155</v>
      </c>
      <c r="J47" s="74">
        <f>(J44-J45)</f>
        <v>-5.1861165090300538</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Cotswold</v>
      </c>
      <c r="G52" s="88"/>
      <c r="H52" s="89"/>
      <c r="I52" s="76">
        <f>VLOOKUP($F52,INACTIVITY!$A$6:$BW$345,6,FALSE)</f>
        <v>17.5</v>
      </c>
      <c r="J52" s="77">
        <f>VLOOKUP($F52,INACTIVITY!$A$6:$BW$345,10,FALSE)</f>
        <v>18.3</v>
      </c>
      <c r="K52" s="77">
        <f>VLOOKUP($F52,INACTIVITY!$A$6:$BW$345,14,FALSE)</f>
        <v>12.6</v>
      </c>
      <c r="L52" s="77">
        <f>VLOOKUP($F52,INACTIVITY!$A$6:$BW$345,18,FALSE)</f>
        <v>14.9</v>
      </c>
      <c r="M52" s="77">
        <f>VLOOKUP($F52,INACTIVITY!$A$6:$BW$345,22,FALSE)</f>
        <v>17.600000000000001</v>
      </c>
      <c r="N52" s="77">
        <f>VLOOKUP($F52,INACTIVITY!$A$6:$BW$345,26,FALSE)</f>
        <v>18.3</v>
      </c>
      <c r="O52" s="77">
        <f>VLOOKUP($F52,INACTIVITY!$A$6:$BW$345,30,FALSE)</f>
        <v>25.9</v>
      </c>
      <c r="P52" s="77">
        <f>VLOOKUP($F52,INACTIVITY!$A$6:$BW$345,34,FALSE)</f>
        <v>19.899999999999999</v>
      </c>
      <c r="Q52" s="77">
        <f>VLOOKUP($F52,INACTIVITY!$A$6:$BW$345,38,FALSE)</f>
        <v>23.4</v>
      </c>
      <c r="R52" s="77">
        <f>VLOOKUP($F52,INACTIVITY!$A$6:$BW$345,42,FALSE)</f>
        <v>21.3</v>
      </c>
      <c r="S52" s="77">
        <f>VLOOKUP($F52,INACTIVITY!$A$6:$BW$345,46,FALSE)</f>
        <v>20.6</v>
      </c>
      <c r="T52" s="77">
        <f>VLOOKUP($F52,INACTIVITY!$A$6:$BW$345,50,FALSE)</f>
        <v>20.5</v>
      </c>
      <c r="U52" s="77">
        <f>VLOOKUP($F52,INACTIVITY!$A$6:$BW$345,54,FALSE)</f>
        <v>13.6</v>
      </c>
      <c r="V52" s="77">
        <f>VLOOKUP($F52,INACTIVITY!$A$6:$BW$345,58,FALSE)</f>
        <v>13.2</v>
      </c>
      <c r="W52" s="77">
        <f>VLOOKUP($F52,INACTIVITY!$A$6:$BW$345,62,FALSE)</f>
        <v>20.9</v>
      </c>
      <c r="X52" s="77">
        <f>VLOOKUP($F52,INACTIVITY!$A$6:$BW$345,66,FALSE)</f>
        <v>21.5</v>
      </c>
      <c r="Y52" s="77">
        <f>VLOOKUP($F52,INACTIVITY!$A$6:$BW$345,70,FALSE)</f>
        <v>15.7</v>
      </c>
      <c r="Z52" s="77">
        <f>VLOOKUP($F52,INACTIVITY!$A$6:$BW$345,74,FALSE)</f>
        <v>15.7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Cotswold to Rural as a Region</v>
      </c>
      <c r="G55" s="122"/>
      <c r="H55" s="123"/>
      <c r="I55" s="74">
        <f>(I52-I53)</f>
        <v>-3.8956445716102373</v>
      </c>
      <c r="J55" s="74">
        <f t="shared" ref="J55:Z55" si="10">(J52-J53)</f>
        <v>-2.7085227272727259</v>
      </c>
      <c r="K55" s="74">
        <f t="shared" si="10"/>
        <v>-8.2624653934587773</v>
      </c>
      <c r="L55" s="74">
        <f t="shared" si="10"/>
        <v>-6.4140653315366389</v>
      </c>
      <c r="M55" s="74">
        <f t="shared" si="10"/>
        <v>-3.2350023108920034</v>
      </c>
      <c r="N55" s="74">
        <f t="shared" si="10"/>
        <v>-2.6331437579204398</v>
      </c>
      <c r="O55" s="74">
        <f t="shared" si="10"/>
        <v>4.2080628724948248</v>
      </c>
      <c r="P55" s="74">
        <f t="shared" si="10"/>
        <v>-1.5942457807534502</v>
      </c>
      <c r="Q55" s="74">
        <f t="shared" si="10"/>
        <v>2.2174512055109048</v>
      </c>
      <c r="R55" s="74">
        <f t="shared" si="10"/>
        <v>0.52540690256122957</v>
      </c>
      <c r="S55" s="74">
        <f t="shared" si="10"/>
        <v>0.32678954402760141</v>
      </c>
      <c r="T55" s="74">
        <f t="shared" si="10"/>
        <v>0.80380531659304211</v>
      </c>
      <c r="U55" s="74">
        <f t="shared" si="10"/>
        <v>-6.2524293470694712</v>
      </c>
      <c r="V55" s="74">
        <f t="shared" si="10"/>
        <v>-6.0532773342803772</v>
      </c>
      <c r="W55" s="74">
        <f t="shared" si="10"/>
        <v>1.7230439908171498</v>
      </c>
      <c r="X55" s="74">
        <f t="shared" si="10"/>
        <v>2.6479350506350698</v>
      </c>
      <c r="Y55" s="74">
        <f t="shared" si="10"/>
        <v>-4.0725827218714628</v>
      </c>
      <c r="Z55" s="74">
        <f t="shared" si="10"/>
        <v>-5.3851797756300712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Cotswold</v>
      </c>
      <c r="G60" s="88"/>
      <c r="H60" s="89"/>
      <c r="I60" s="76">
        <f>VLOOKUP($F60,DISABILITY!$A$718:$I$1052,DISABILITY!B$1053,FALSE)</f>
        <v>20.6</v>
      </c>
      <c r="J60" s="77">
        <f>VLOOKUP($F60,DISABILITY!$A$718:$I$1052,DISABILITY!C$1053,FALSE)</f>
        <v>25.599999999999994</v>
      </c>
      <c r="K60" s="77">
        <f>VLOOKUP($F60,DISABILITY!$A$718:$I$1052,DISABILITY!D$1053,FALSE)</f>
        <v>44.400000000000006</v>
      </c>
      <c r="L60" s="77">
        <f>VLOOKUP($F60,DISABILITY!$A$718:$I$1052,DISABILITY!E$1053,FALSE)</f>
        <v>40.700000000000003</v>
      </c>
      <c r="M60" s="77">
        <f>VLOOKUP($F60,DISABILITY!$A$718:$I$1052,DISABILITY!F$1053,FALSE)</f>
        <v>33.900000000000006</v>
      </c>
      <c r="N60" s="77">
        <f>VLOOKUP($F60,DISABILITY!$A$718:$I$1052,DISABILITY!G$1053,FALSE)</f>
        <v>5.9000000000000057</v>
      </c>
      <c r="O60" s="77">
        <f>VLOOKUP($F60,DISABILITY!$A$718:$I$1052,DISABILITY!H$1053,FALSE)</f>
        <v>-3.7000000000000028</v>
      </c>
      <c r="P60" s="77">
        <f>VLOOKUP($F60,DISABILITY!$A$718:$I$1052,DISABILITY!I$1053,FALSE)</f>
        <v>16.700000000000003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Cotswold to Rural as a Region</v>
      </c>
      <c r="G63" s="122"/>
      <c r="H63" s="123"/>
      <c r="I63" s="74">
        <f>(I60-I61)</f>
        <v>-6.8201565406472469</v>
      </c>
      <c r="J63" s="74">
        <f t="shared" ref="J63:P63" si="12">(J60-J61)</f>
        <v>-1.719044407051193</v>
      </c>
      <c r="K63" s="74">
        <f t="shared" si="12"/>
        <v>16.2808716385018</v>
      </c>
      <c r="L63" s="74">
        <f t="shared" si="12"/>
        <v>14.709065461003327</v>
      </c>
      <c r="M63" s="74">
        <f t="shared" si="12"/>
        <v>8.4247741813338877</v>
      </c>
      <c r="N63" s="74">
        <f t="shared" si="12"/>
        <v>-19.631247685441977</v>
      </c>
      <c r="O63" s="74">
        <f t="shared" si="12"/>
        <v>-27.497222287996948</v>
      </c>
      <c r="P63" s="74">
        <f t="shared" si="12"/>
        <v>-8.654177930342172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Cotswold</v>
      </c>
      <c r="G68" s="88"/>
      <c r="H68" s="89"/>
      <c r="I68" s="76">
        <f>VLOOKUP($F68,'WORKLESS HOUSEHOLDS'!$DW$4:$EC$397,7,FALSE)</f>
        <v>16.979929111305982</v>
      </c>
      <c r="J68" s="77">
        <f>VLOOKUP($F68,'WORKLESS HOUSEHOLDS'!$DN$4:$DT$397,7,FALSE)</f>
        <v>9.7832398332278281</v>
      </c>
      <c r="K68" s="77">
        <f>VLOOKUP($F68,'WORKLESS HOUSEHOLDS'!$DE$4:$DK$397,7,FALSE)</f>
        <v>8.7113067532554886</v>
      </c>
      <c r="L68" s="77">
        <f>VLOOKUP($F68,'WORKLESS HOUSEHOLDS'!$CV$4:$DB$397,7,FALSE)</f>
        <v>4.2554677422803104</v>
      </c>
      <c r="M68" s="77">
        <f>VLOOKUP($F68,'WORKLESS HOUSEHOLDS'!$CM$4:$CS$397,7,FALSE)</f>
        <v>10.042824136527074</v>
      </c>
      <c r="N68" s="77" t="str">
        <f>VLOOKUP($F68,'WORKLESS HOUSEHOLDS'!$CD$4:$CJ$397,7,FALSE)</f>
        <v>*</v>
      </c>
      <c r="O68" s="77">
        <f>VLOOKUP($F68,'WORKLESS HOUSEHOLDS'!$BU$4:$CA$397,7,FALSE)</f>
        <v>7.9241071428571423</v>
      </c>
      <c r="P68" s="77">
        <f>VLOOKUP($F68,'WORKLESS HOUSEHOLDS'!$BL$4:$BR$397,7,FALSE)</f>
        <v>4.4809228039041704</v>
      </c>
      <c r="Q68" s="77" t="str">
        <f>VLOOKUP($F68,'WORKLESS HOUSEHOLDS'!$BC$4:$BI$397,7,FALSE)</f>
        <v>#</v>
      </c>
      <c r="R68" s="77">
        <f>VLOOKUP($F68,'WORKLESS HOUSEHOLDS'!$AT$4:$AZ$397,7,FALSE)</f>
        <v>18.155541504832446</v>
      </c>
      <c r="S68" s="77" t="str">
        <f>VLOOKUP($F68,'WORKLESS HOUSEHOLDS'!$AK$4:$AQ$397,7,FALSE)</f>
        <v>#</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Cotswold to Rural as a Region</v>
      </c>
      <c r="G71" s="122"/>
      <c r="H71" s="123"/>
      <c r="I71" s="74">
        <f>(I68-I69)</f>
        <v>6.9679832487192908</v>
      </c>
      <c r="J71" s="74">
        <f t="shared" ref="J71:W71" si="14">(J68-J69)</f>
        <v>-1.1279150042471962</v>
      </c>
      <c r="K71" s="74">
        <f t="shared" si="14"/>
        <v>-1.5819389759003553</v>
      </c>
      <c r="L71" s="74">
        <f t="shared" si="14"/>
        <v>-6.710538919049422</v>
      </c>
      <c r="M71" s="74">
        <f t="shared" si="14"/>
        <v>-1.6509550446613996</v>
      </c>
      <c r="N71" s="74" t="e">
        <f t="shared" si="14"/>
        <v>#VALUE!</v>
      </c>
      <c r="O71" s="74">
        <f t="shared" si="14"/>
        <v>-3.1111461048853695</v>
      </c>
      <c r="P71" s="74">
        <f t="shared" si="14"/>
        <v>-5.2105750818636674</v>
      </c>
      <c r="Q71" s="74" t="e">
        <f t="shared" si="14"/>
        <v>#VALUE!</v>
      </c>
      <c r="R71" s="74">
        <f t="shared" si="14"/>
        <v>7.4494451811028917</v>
      </c>
      <c r="S71" s="74" t="e">
        <f t="shared" si="14"/>
        <v>#VALUE!</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Cotswold</v>
      </c>
      <c r="G76" s="88"/>
      <c r="H76" s="89"/>
      <c r="I76" s="76">
        <f>VLOOKUP($F76,'SKILLED EMPLOYMENT'!$A$1506:$BW$1841,6,FALSE)</f>
        <v>57</v>
      </c>
      <c r="J76" s="77">
        <f>VLOOKUP($F76,'SKILLED EMPLOYMENT'!$A$1506:$BW$1841,10,FALSE)</f>
        <v>52</v>
      </c>
      <c r="K76" s="77">
        <f>VLOOKUP($F76,'SKILLED EMPLOYMENT'!$A$1506:$BW$1841,14,FALSE)</f>
        <v>54.599999999999994</v>
      </c>
      <c r="L76" s="77">
        <f>VLOOKUP($F76,'SKILLED EMPLOYMENT'!$A$1506:$BW$1841,18,FALSE)</f>
        <v>54.300000000000004</v>
      </c>
      <c r="M76" s="77">
        <f>VLOOKUP($F76,'SKILLED EMPLOYMENT'!$A$1506:$BW$1841,22,FALSE)</f>
        <v>54.599999999999994</v>
      </c>
      <c r="N76" s="77">
        <f>VLOOKUP($F76,'SKILLED EMPLOYMENT'!$A$1506:$BW$1841,26,FALSE)</f>
        <v>54</v>
      </c>
      <c r="O76" s="77">
        <f>VLOOKUP($F76,'SKILLED EMPLOYMENT'!$A$1506:$BW$1841,30,FALSE)</f>
        <v>62.5</v>
      </c>
      <c r="P76" s="77">
        <f>VLOOKUP($F76,'SKILLED EMPLOYMENT'!$A$1506:$BW$1841,34,FALSE)</f>
        <v>60.4</v>
      </c>
      <c r="Q76" s="77">
        <f>VLOOKUP($F76,'SKILLED EMPLOYMENT'!$A$1506:$BW$1841,38,FALSE)</f>
        <v>53.8</v>
      </c>
      <c r="R76" s="77">
        <f>VLOOKUP($F76,'SKILLED EMPLOYMENT'!$A$1506:$BW$1841,42,FALSE)</f>
        <v>60</v>
      </c>
      <c r="S76" s="77">
        <f>VLOOKUP($F76,'SKILLED EMPLOYMENT'!$A$1506:$BW$1841,46,FALSE)</f>
        <v>64.900000000000006</v>
      </c>
      <c r="T76" s="77">
        <f>VLOOKUP($F76,'SKILLED EMPLOYMENT'!$A$1506:$BW$1841,50,FALSE)</f>
        <v>67.099999999999994</v>
      </c>
      <c r="U76" s="77">
        <f>VLOOKUP($F76,'SKILLED EMPLOYMENT'!$A$1506:$BW$1841,54,FALSE)</f>
        <v>71.400000000000006</v>
      </c>
      <c r="V76" s="77">
        <f>VLOOKUP($F76,'SKILLED EMPLOYMENT'!$A$1506:$BW$1841,58,FALSE)</f>
        <v>66.8</v>
      </c>
      <c r="W76" s="77">
        <f>VLOOKUP($F76,'SKILLED EMPLOYMENT'!$A$1506:$BW$1841,62,FALSE)</f>
        <v>66.2</v>
      </c>
      <c r="X76" s="77">
        <f>VLOOKUP($F76,'SKILLED EMPLOYMENT'!$A$1506:$BW$1841,66,FALSE)</f>
        <v>71.400000000000006</v>
      </c>
      <c r="Y76" s="77">
        <f>VLOOKUP($F76,'SKILLED EMPLOYMENT'!$A$1506:$BW$1841,70,FALSE)</f>
        <v>64.8</v>
      </c>
      <c r="Z76" s="77">
        <f>VLOOKUP($F76,'SKILLED EMPLOYMENT'!$A$1506:$BW$1841,74,FALSE)</f>
        <v>71</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Cotswold to Rural as a Region</v>
      </c>
      <c r="G79" s="122"/>
      <c r="H79" s="123"/>
      <c r="I79" s="74">
        <f>(I76-I77)</f>
        <v>4.2999999999999972</v>
      </c>
      <c r="J79" s="74">
        <f t="shared" ref="J79:Z79" si="17">(J76-J77)</f>
        <v>-0.89999999999999858</v>
      </c>
      <c r="K79" s="74">
        <f t="shared" si="17"/>
        <v>1.0999999999999943</v>
      </c>
      <c r="L79" s="74">
        <f t="shared" si="17"/>
        <v>0.30000000000000426</v>
      </c>
      <c r="M79" s="74">
        <f t="shared" si="17"/>
        <v>0.49999999999999289</v>
      </c>
      <c r="N79" s="74">
        <f t="shared" si="17"/>
        <v>-0.39999999999999858</v>
      </c>
      <c r="O79" s="74">
        <f t="shared" si="17"/>
        <v>7.1000000000000014</v>
      </c>
      <c r="P79" s="74">
        <f t="shared" si="17"/>
        <v>4.7999999999999972</v>
      </c>
      <c r="Q79" s="74">
        <f t="shared" si="17"/>
        <v>-1.6000000000000014</v>
      </c>
      <c r="R79" s="74">
        <f t="shared" si="17"/>
        <v>3.7999999999999972</v>
      </c>
      <c r="S79" s="74">
        <f t="shared" si="17"/>
        <v>8.7000000000000028</v>
      </c>
      <c r="T79" s="74">
        <f t="shared" si="17"/>
        <v>10.299999999999997</v>
      </c>
      <c r="U79" s="74">
        <f t="shared" si="17"/>
        <v>14.800000000000004</v>
      </c>
      <c r="V79" s="74">
        <f t="shared" si="17"/>
        <v>9.6999999999999957</v>
      </c>
      <c r="W79" s="74">
        <f t="shared" si="17"/>
        <v>8.4000000000000057</v>
      </c>
      <c r="X79" s="74">
        <f t="shared" si="17"/>
        <v>12.600000000000009</v>
      </c>
      <c r="Y79" s="74">
        <f t="shared" si="17"/>
        <v>6.0999999999999943</v>
      </c>
      <c r="Z79" s="74">
        <f t="shared" si="17"/>
        <v>12.600000000000001</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pKfKDhUlsCdrycFfT7o4F8O6GJ2T21CW+A07MLYnft85c1CaQa43mVI2lgXqYOHFS7SN4E3ZMevKTnYjZK+uUA==" saltValue="NqLqE1/f68dVMtNPjdhH6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2022-08-02T10:59:51Z</dcterms:modified>
</cp:coreProperties>
</file>