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0" documentId="8_{9879AA10-914D-418F-9BCB-CA0A28590651}" xr6:coauthVersionLast="47" xr6:coauthVersionMax="47" xr10:uidLastSave="{4E5C9F5F-E2B2-49CF-929B-541A86368154}"/>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<sst xmlns="http://schemas.openxmlformats.org/spreadsheetml/2006/main" count="32859" uniqueCount="1676">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</sst>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County Durham</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22.61</c:v>
                </c:pt>
                <c:pt idx="1">
                  <c:v>22.41</c:v>
                </c:pt>
                <c:pt idx="2">
                  <c:v>23.99</c:v>
                </c:pt>
                <c:pt idx="3">
                  <c:v>25.04</c:v>
                </c:pt>
                <c:pt idx="4">
                  <c:v>25.93</c:v>
                </c:pt>
                <c:pt idx="5">
                  <c:v>26.52</c:v>
                </c:pt>
                <c:pt idx="6">
                  <c:v>27.05</c:v>
                </c:pt>
                <c:pt idx="7">
                  <c:v>27.35</c:v>
                </c:pt>
                <c:pt idx="8">
                  <c:v>27.51</c:v>
                </c:pt>
                <c:pt idx="9">
                  <c:v>27.36</c:v>
                </c:pt>
                <c:pt idx="10">
                  <c:v>27.31</c:v>
                </c:pt>
                <c:pt idx="11">
                  <c:v>27.48</c:v>
                </c:pt>
                <c:pt idx="12">
                  <c:v>27.94</c:v>
                </c:pt>
                <c:pt idx="13">
                  <c:v>28.4</c:v>
                </c:pt>
                <c:pt idx="14">
                  <c:v>28.78</c:v>
                </c:pt>
                <c:pt idx="15">
                  <c:v>28.96</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County Durham</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387.8</c:v>
                </c:pt>
                <c:pt idx="1">
                  <c:v>404.5</c:v>
                </c:pt>
                <c:pt idx="2">
                  <c:v>420.4</c:v>
                </c:pt>
                <c:pt idx="3">
                  <c:v>416.8</c:v>
                </c:pt>
                <c:pt idx="4">
                  <c:v>436.6</c:v>
                </c:pt>
                <c:pt idx="5">
                  <c:v>445.5</c:v>
                </c:pt>
                <c:pt idx="6">
                  <c:v>450.2</c:v>
                </c:pt>
                <c:pt idx="7">
                  <c:v>478.1</c:v>
                </c:pt>
                <c:pt idx="8">
                  <c:v>479.6</c:v>
                </c:pt>
                <c:pt idx="9">
                  <c:v>489.9</c:v>
                </c:pt>
                <c:pt idx="10">
                  <c:v>503.5</c:v>
                </c:pt>
                <c:pt idx="11">
                  <c:v>523.79999999999995</c:v>
                </c:pt>
                <c:pt idx="12">
                  <c:v>498.2</c:v>
                </c:pt>
                <c:pt idx="13">
                  <c:v>519.6</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County Durham</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67.099999999999994</c:v>
                </c:pt>
                <c:pt idx="1">
                  <c:v>68</c:v>
                </c:pt>
                <c:pt idx="2">
                  <c:v>70</c:v>
                </c:pt>
                <c:pt idx="3">
                  <c:v>71.5</c:v>
                </c:pt>
                <c:pt idx="4">
                  <c:v>69.8</c:v>
                </c:pt>
                <c:pt idx="5">
                  <c:v>66.599999999999994</c:v>
                </c:pt>
                <c:pt idx="6">
                  <c:v>66.2</c:v>
                </c:pt>
                <c:pt idx="7">
                  <c:v>67</c:v>
                </c:pt>
                <c:pt idx="8">
                  <c:v>64.8</c:v>
                </c:pt>
                <c:pt idx="9">
                  <c:v>65.7</c:v>
                </c:pt>
                <c:pt idx="10">
                  <c:v>68.599999999999994</c:v>
                </c:pt>
                <c:pt idx="11">
                  <c:v>67.3</c:v>
                </c:pt>
                <c:pt idx="12">
                  <c:v>70.900000000000006</c:v>
                </c:pt>
                <c:pt idx="13">
                  <c:v>71.3</c:v>
                </c:pt>
                <c:pt idx="14">
                  <c:v>74.599999999999994</c:v>
                </c:pt>
                <c:pt idx="15">
                  <c:v>71.2</c:v>
                </c:pt>
                <c:pt idx="16">
                  <c:v>71.400000000000006</c:v>
                </c:pt>
                <c:pt idx="17">
                  <c:v>71.2</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County Durham</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11674</c:v>
                </c:pt>
                <c:pt idx="1">
                  <c:v>11934</c:v>
                </c:pt>
                <c:pt idx="2">
                  <c:v>12265</c:v>
                </c:pt>
                <c:pt idx="3">
                  <c:v>12544</c:v>
                </c:pt>
                <c:pt idx="4">
                  <c:v>12788</c:v>
                </c:pt>
                <c:pt idx="5">
                  <c:v>13185</c:v>
                </c:pt>
                <c:pt idx="6">
                  <c:v>13603</c:v>
                </c:pt>
                <c:pt idx="7">
                  <c:v>13758</c:v>
                </c:pt>
                <c:pt idx="8">
                  <c:v>14209</c:v>
                </c:pt>
                <c:pt idx="9">
                  <c:v>14522</c:v>
                </c:pt>
                <c:pt idx="10">
                  <c:v>14926</c:v>
                </c:pt>
                <c:pt idx="11">
                  <c:v>15496</c:v>
                </c:pt>
                <c:pt idx="12">
                  <c:v>15549</c:v>
                </c:pt>
                <c:pt idx="13">
                  <c:v>15798</c:v>
                </c:pt>
                <c:pt idx="14">
                  <c:v>16315</c:v>
                </c:pt>
                <c:pt idx="15">
                  <c:v>16617</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County Durham</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28.1</c:v>
                </c:pt>
                <c:pt idx="1">
                  <c:v>24.4</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County Durham</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29.4</c:v>
                </c:pt>
                <c:pt idx="1">
                  <c:v>28.8</c:v>
                </c:pt>
                <c:pt idx="2">
                  <c:v>25.1</c:v>
                </c:pt>
                <c:pt idx="3">
                  <c:v>24.6</c:v>
                </c:pt>
                <c:pt idx="4">
                  <c:v>25</c:v>
                </c:pt>
                <c:pt idx="5">
                  <c:v>27</c:v>
                </c:pt>
                <c:pt idx="6">
                  <c:v>27.2</c:v>
                </c:pt>
                <c:pt idx="7">
                  <c:v>26.9</c:v>
                </c:pt>
                <c:pt idx="8">
                  <c:v>27</c:v>
                </c:pt>
                <c:pt idx="9">
                  <c:v>26.9</c:v>
                </c:pt>
                <c:pt idx="10">
                  <c:v>25.2</c:v>
                </c:pt>
                <c:pt idx="11">
                  <c:v>27</c:v>
                </c:pt>
                <c:pt idx="12">
                  <c:v>24.1</c:v>
                </c:pt>
                <c:pt idx="13">
                  <c:v>23.8</c:v>
                </c:pt>
                <c:pt idx="14">
                  <c:v>22.5</c:v>
                </c:pt>
                <c:pt idx="15">
                  <c:v>24.5</c:v>
                </c:pt>
                <c:pt idx="16">
                  <c:v>23</c:v>
                </c:pt>
                <c:pt idx="17">
                  <c:v>25.8</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County Durham</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36.000000000000007</c:v>
                </c:pt>
                <c:pt idx="1">
                  <c:v>39.6</c:v>
                </c:pt>
                <c:pt idx="2">
                  <c:v>46.7</c:v>
                </c:pt>
                <c:pt idx="3">
                  <c:v>38.800000000000004</c:v>
                </c:pt>
                <c:pt idx="4">
                  <c:v>33.800000000000004</c:v>
                </c:pt>
                <c:pt idx="5">
                  <c:v>35.9</c:v>
                </c:pt>
                <c:pt idx="6">
                  <c:v>31.200000000000003</c:v>
                </c:pt>
                <c:pt idx="7">
                  <c:v>30.799999999999997</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County Durham</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16.395995343807357</c:v>
                </c:pt>
                <c:pt idx="1">
                  <c:v>14.618275216166543</c:v>
                </c:pt>
                <c:pt idx="2">
                  <c:v>15.62272518612507</c:v>
                </c:pt>
                <c:pt idx="3">
                  <c:v>20.148516921090913</c:v>
                </c:pt>
                <c:pt idx="4">
                  <c:v>18.585008438395061</c:v>
                </c:pt>
                <c:pt idx="5">
                  <c:v>20.151048193179125</c:v>
                </c:pt>
                <c:pt idx="6">
                  <c:v>21.177997320830542</c:v>
                </c:pt>
                <c:pt idx="7">
                  <c:v>20.280213379115825</c:v>
                </c:pt>
                <c:pt idx="8">
                  <c:v>22.186508956886946</c:v>
                </c:pt>
                <c:pt idx="9">
                  <c:v>19.28956502473968</c:v>
                </c:pt>
                <c:pt idx="10">
                  <c:v>13.375110265898337</c:v>
                </c:pt>
                <c:pt idx="11">
                  <c:v>14.300555815282323</c:v>
                </c:pt>
                <c:pt idx="12">
                  <c:v>18.785611106652755</c:v>
                </c:pt>
                <c:pt idx="13">
                  <c:v>18.458310415775429</c:v>
                </c:pt>
                <c:pt idx="14">
                  <c:v>14.834582093126688</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County Durham</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45.300000000000004</c:v>
                </c:pt>
                <c:pt idx="1">
                  <c:v>46.300000000000004</c:v>
                </c:pt>
                <c:pt idx="2">
                  <c:v>47.3</c:v>
                </c:pt>
                <c:pt idx="3">
                  <c:v>49</c:v>
                </c:pt>
                <c:pt idx="4">
                  <c:v>47.5</c:v>
                </c:pt>
                <c:pt idx="5">
                  <c:v>49.599999999999994</c:v>
                </c:pt>
                <c:pt idx="6">
                  <c:v>49</c:v>
                </c:pt>
                <c:pt idx="7">
                  <c:v>50.5</c:v>
                </c:pt>
                <c:pt idx="8">
                  <c:v>46.4</c:v>
                </c:pt>
                <c:pt idx="9">
                  <c:v>46.400000000000006</c:v>
                </c:pt>
                <c:pt idx="10">
                  <c:v>50.9</c:v>
                </c:pt>
                <c:pt idx="11">
                  <c:v>51.199999999999996</c:v>
                </c:pt>
                <c:pt idx="12">
                  <c:v>51.3</c:v>
                </c:pt>
                <c:pt idx="13">
                  <c:v>52.599999999999994</c:v>
                </c:pt>
                <c:pt idx="14">
                  <c:v>50.099999999999994</c:v>
                </c:pt>
                <c:pt idx="15">
                  <c:v>51.600000000000009</c:v>
                </c:pt>
                <c:pt idx="16">
                  <c:v>52.5</c:v>
                </c:pt>
                <c:pt idx="17">
                  <c:v>52.5</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County Durham has been consistently lower than that of England.</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Despite the GDHI per head increasing over the years within County Durham, it is below and dropping further behind that seen in England overall.</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The proportion for County Durham dropped between 2017 and 2018, moving it's proportion from being above to below the situation for rural on average.</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County Durham's economic inactivity rate has been consistently greater than the England situation.</a:t>
          </a:r>
          <a:endParaRPr lang="en-GB" sz="1100">
            <a:latin typeface="Avenir Next LT Pro" panose="020B0504020202020204" pitchFamily="34" charset="0"/>
          </a:endParaRP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County Durham from 2014 to 2021 was consistenetly greater than the England or rural situations and peaked in 2016 before then reducing again.</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County Durham has been less stable but has been consistently greater than both the England and rural average positions.</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County Durham has had a consistently lower proportion of employed people in skilled employment than seen in either England or 'Rural as a Region'.</a:t>
          </a:r>
          <a:endParaRPr lang="en-GB" sz="1100">
            <a:latin typeface="Avenir Next LT Pro" panose="020B0504020202020204" pitchFamily="34" charset="0"/>
          </a:endParaRPr>
        </a:p>
      </xdr:txBody>
    </xdr:sp>
    <xdr:clientData/>
  </xdr:twoCellAnchor>
  <xdr:twoCellAnchor>
    <xdr:from>
      <xdr:col>0</xdr:col>
      <xdr:colOff>579120</xdr:colOff>
      <xdr:row>12</xdr:row>
      <xdr:rowOff>525780</xdr:rowOff>
    </xdr:from>
    <xdr:to>
      <xdr:col>1</xdr:col>
      <xdr:colOff>2560320</xdr:colOff>
      <xdr:row>14</xdr:row>
      <xdr:rowOff>30480</xdr:rowOff>
    </xdr:to>
    <xdr:sp macro="" textlink="">
      <xdr:nvSpPr>
        <xdr:cNvPr id="20" name="TextBox 19">
          <a:extLst>
            <a:ext uri="{FF2B5EF4-FFF2-40B4-BE49-F238E27FC236}">
              <a16:creationId xmlns:a16="http://schemas.microsoft.com/office/drawing/2014/main" id="{25000DD5-B8CD-4E56-9301-C124AEA9EAB8}"/>
            </a:ext>
          </a:extLst>
        </xdr:cNvPr>
        <xdr:cNvSpPr txBox="1"/>
      </xdr:nvSpPr>
      <xdr:spPr>
        <a:xfrm>
          <a:off x="579120" y="351282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County Durham roughly follows a similar path to the rural situation.</a:t>
          </a:r>
          <a:endParaRPr lang="en-GB" sz="1100">
            <a:latin typeface="Avenir Next LT Pro" panose="020B0504020202020204" pitchFamily="34" charset="0"/>
          </a:endParaRPr>
        </a:p>
      </xdr:txBody>
    </xdr:sp>
    <xdr:clientData/>
  </xdr:twoCellAnchor>
  <xdr:twoCellAnchor>
    <xdr:from>
      <xdr:col>0</xdr:col>
      <xdr:colOff>609600</xdr:colOff>
      <xdr:row>20</xdr:row>
      <xdr:rowOff>609600</xdr:rowOff>
    </xdr:from>
    <xdr:to>
      <xdr:col>1</xdr:col>
      <xdr:colOff>2590800</xdr:colOff>
      <xdr:row>22</xdr:row>
      <xdr:rowOff>137160</xdr:rowOff>
    </xdr:to>
    <xdr:sp macro="" textlink="">
      <xdr:nvSpPr>
        <xdr:cNvPr id="21" name="TextBox 20">
          <a:extLst>
            <a:ext uri="{FF2B5EF4-FFF2-40B4-BE49-F238E27FC236}">
              <a16:creationId xmlns:a16="http://schemas.microsoft.com/office/drawing/2014/main" id="{9E23BEA1-A971-4661-9C54-2AC31197B8DC}"/>
            </a:ext>
          </a:extLst>
        </xdr:cNvPr>
        <xdr:cNvSpPr txBox="1"/>
      </xdr:nvSpPr>
      <xdr:spPr>
        <a:xfrm>
          <a:off x="609600" y="753618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County Durham from 2008 to 2021 was in line with or below the rural situation.</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05" t="s">
        <v>1666</v>
      </c>
      <c r="B1" s="105"/>
      <c r="C1" s="105"/>
    </row>
    <row r="2" spans="1:24" ht="21" customHeight="1" x14ac:dyDescent="0.3">
      <c r="A2" s="105"/>
      <c r="B2" s="105"/>
      <c r="C2" s="105"/>
    </row>
    <row r="3" spans="1:24" ht="15" thickBot="1" x14ac:dyDescent="0.35"/>
    <row r="4" spans="1:24" ht="16.2" thickBot="1" x14ac:dyDescent="0.35">
      <c r="A4" s="65" t="s">
        <v>1635</v>
      </c>
      <c r="B4" s="57" t="s">
        <v>65</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06" t="s">
        <v>1668</v>
      </c>
      <c r="G11" s="106"/>
      <c r="H11" s="107"/>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County Durham</v>
      </c>
      <c r="G12" s="88" t="str">
        <f>IFERROR(VLOOKUP(F12,GVA!B244:B552,1,FALSE),VLOOKUP(F12,GVA!B6:C230,2,FALSE))</f>
        <v>County Durham</v>
      </c>
      <c r="H12" s="89" t="str">
        <f>IF(F12=G12,"",G12)</f>
        <v/>
      </c>
      <c r="I12" s="76">
        <f>IFERROR(VLOOKUP($F12,GVA!$B$7:$S$230,GVA!D$3,FALSE),VLOOKUP($F12,GVA!$B$244:$T$554,GVA!E$3,FALSE))</f>
        <v>22.61</v>
      </c>
      <c r="J12" s="77">
        <f>IFERROR(VLOOKUP($F12,GVA!$B$7:$S$230,GVA!E$3,FALSE),VLOOKUP($F12,GVA!$B$244:$T$554,GVA!F$3,FALSE))</f>
        <v>22.41</v>
      </c>
      <c r="K12" s="77">
        <f>IFERROR(VLOOKUP($F12,GVA!$B$7:$S$230,GVA!F$3,FALSE),VLOOKUP($F12,GVA!$B$244:$T$554,GVA!G$3,FALSE))</f>
        <v>23.99</v>
      </c>
      <c r="L12" s="77">
        <f>IFERROR(VLOOKUP($F12,GVA!$B$7:$S$230,GVA!G$3,FALSE),VLOOKUP($F12,GVA!$B$244:$T$554,GVA!H$3,FALSE))</f>
        <v>25.04</v>
      </c>
      <c r="M12" s="77">
        <f>IFERROR(VLOOKUP($F12,GVA!$B$7:$S$230,GVA!H$3,FALSE),VLOOKUP($F12,GVA!$B$244:$T$554,GVA!I$3,FALSE))</f>
        <v>25.93</v>
      </c>
      <c r="N12" s="77">
        <f>IFERROR(VLOOKUP($F12,GVA!$B$7:$S$230,GVA!I$3,FALSE),VLOOKUP($F12,GVA!$B$244:$T$554,GVA!J$3,FALSE))</f>
        <v>26.52</v>
      </c>
      <c r="O12" s="77">
        <f>IFERROR(VLOOKUP($F12,GVA!$B$7:$S$230,GVA!J$3,FALSE),VLOOKUP($F12,GVA!$B$244:$T$554,GVA!K$3,FALSE))</f>
        <v>27.05</v>
      </c>
      <c r="P12" s="77">
        <f>IFERROR(VLOOKUP($F12,GVA!$B$7:$S$230,GVA!K$3,FALSE),VLOOKUP($F12,GVA!$B$244:$T$554,GVA!L$3,FALSE))</f>
        <v>27.35</v>
      </c>
      <c r="Q12" s="77">
        <f>IFERROR(VLOOKUP($F12,GVA!$B$7:$S$230,GVA!L$3,FALSE),VLOOKUP($F12,GVA!$B$244:$T$554,GVA!M$3,FALSE))</f>
        <v>27.51</v>
      </c>
      <c r="R12" s="77">
        <f>IFERROR(VLOOKUP($F12,GVA!$B$7:$S$230,GVA!M$3,FALSE),VLOOKUP($F12,GVA!$B$244:$T$554,GVA!N$3,FALSE))</f>
        <v>27.36</v>
      </c>
      <c r="S12" s="77">
        <f>IFERROR(VLOOKUP($F12,GVA!$B$7:$S$230,GVA!N$3,FALSE),VLOOKUP($F12,GVA!$B$244:$T$554,GVA!O$3,FALSE))</f>
        <v>27.31</v>
      </c>
      <c r="T12" s="77">
        <f>IFERROR(VLOOKUP($F12,GVA!$B$7:$S$230,GVA!O$3,FALSE),VLOOKUP($F12,GVA!$B$244:$T$554,GVA!P$3,FALSE))</f>
        <v>27.48</v>
      </c>
      <c r="U12" s="77">
        <f>IFERROR(VLOOKUP($F12,GVA!$B$7:$S$230,GVA!P$3,FALSE),VLOOKUP($F12,GVA!$B$244:$T$554,GVA!Q$3,FALSE))</f>
        <v>27.94</v>
      </c>
      <c r="V12" s="77">
        <f>IFERROR(VLOOKUP($F12,GVA!$B$7:$S$230,GVA!Q$3,FALSE),VLOOKUP($F12,GVA!$B$244:$T$554,GVA!R$3,FALSE))</f>
        <v>28.4</v>
      </c>
      <c r="W12" s="77">
        <f>IFERROR(VLOOKUP($F12,GVA!$B$7:$S$230,GVA!R$3,FALSE),VLOOKUP($F12,GVA!$B$244:$T$554,GVA!S$3,FALSE))</f>
        <v>28.78</v>
      </c>
      <c r="X12" s="77">
        <f>IFERROR(VLOOKUP($F12,GVA!$B$7:$S$230,GVA!S$3,FALSE),VLOOKUP($F12,GVA!$B$244:$T$554,GVA!T$3,FALSE))</f>
        <v>28.96</v>
      </c>
    </row>
    <row r="13" spans="1:24" ht="51" customHeight="1" x14ac:dyDescent="0.3">
      <c r="B13" s="56"/>
      <c r="C13" s="56"/>
      <c r="D13" s="56"/>
      <c r="F13" s="116" t="s">
        <v>1648</v>
      </c>
      <c r="G13" s="117"/>
      <c r="H13" s="118"/>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1" t="s">
        <v>1010</v>
      </c>
      <c r="G14" s="112"/>
      <c r="H14" s="113"/>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21" t="str">
        <f>"% Gap - "&amp;F12&amp;" to Rural as a Region"</f>
        <v>% Gap - County Durham to Rural as a Region</v>
      </c>
      <c r="G15" s="122"/>
      <c r="H15" s="123"/>
      <c r="I15" s="74">
        <f>100*((I12-I13)/I13)</f>
        <v>-3.9512079175874599</v>
      </c>
      <c r="J15" s="74">
        <f t="shared" ref="J15:X15" si="0">100*((J12-J13)/J13)</f>
        <v>-4.5357729679290841</v>
      </c>
      <c r="K15" s="74">
        <f t="shared" si="0"/>
        <v>-1.2916783000985184</v>
      </c>
      <c r="L15" s="74">
        <f t="shared" si="0"/>
        <v>0.8109507103007727</v>
      </c>
      <c r="M15" s="74">
        <f t="shared" si="0"/>
        <v>2.6335505576681291</v>
      </c>
      <c r="N15" s="74">
        <f t="shared" si="0"/>
        <v>4.1113048029873154</v>
      </c>
      <c r="O15" s="74">
        <f t="shared" si="0"/>
        <v>4.8851304255506083</v>
      </c>
      <c r="P15" s="74">
        <f t="shared" si="0"/>
        <v>4.4904419489964607</v>
      </c>
      <c r="Q15" s="74">
        <f t="shared" si="0"/>
        <v>2.9923786602486899</v>
      </c>
      <c r="R15" s="74">
        <f t="shared" si="0"/>
        <v>0.68474246586140408</v>
      </c>
      <c r="S15" s="74">
        <f t="shared" si="0"/>
        <v>-1.1389933935797876</v>
      </c>
      <c r="T15" s="74">
        <f t="shared" si="0"/>
        <v>-2.3735007020689727</v>
      </c>
      <c r="U15" s="74">
        <f t="shared" si="0"/>
        <v>-3.1106670905044922</v>
      </c>
      <c r="V15" s="74">
        <f t="shared" si="0"/>
        <v>-4.1215360810240478</v>
      </c>
      <c r="W15" s="74">
        <f t="shared" si="0"/>
        <v>-4.8104296193629255</v>
      </c>
      <c r="X15" s="74">
        <f t="shared" si="0"/>
        <v>-5.2086458767647068</v>
      </c>
    </row>
    <row r="16" spans="1:24" ht="51" customHeight="1" x14ac:dyDescent="0.3">
      <c r="B16" s="56"/>
      <c r="C16" s="56"/>
      <c r="D16" s="56"/>
      <c r="F16" s="124" t="s">
        <v>1667</v>
      </c>
      <c r="G16" s="125"/>
      <c r="H16" s="126"/>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06" t="s">
        <v>0</v>
      </c>
      <c r="G19" s="106"/>
      <c r="H19" s="107"/>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County Durham</v>
      </c>
      <c r="G20" s="88"/>
      <c r="H20" s="89"/>
      <c r="I20" s="80">
        <f>IF(VLOOKUP($F20,PAY!$A$11:$AE$349,4,FALSE)="-",#N/A,VLOOKUP($F20,PAY!$A$11:$AE$349,4,FALSE))</f>
        <v>387.8</v>
      </c>
      <c r="J20" s="80">
        <f>IF(VLOOKUP($F20,PAY!$A$11:$AE$349,6,FALSE)="-",#N/A,VLOOKUP($F20,PAY!$A$11:$AE$349,6,FALSE))</f>
        <v>404.5</v>
      </c>
      <c r="K20" s="80">
        <f>IF(VLOOKUP($F20,PAY!$A$11:$AE$349,8,FALSE)="-",#N/A,VLOOKUP($F20,PAY!$A$11:$AE$349,8,FALSE))</f>
        <v>420.4</v>
      </c>
      <c r="L20" s="80">
        <f>IF(VLOOKUP($F20,PAY!$A$11:$AE$349,10,FALSE)="-",#N/A,VLOOKUP($F20,PAY!$A$11:$AE$349,10,FALSE))</f>
        <v>416.8</v>
      </c>
      <c r="M20" s="80">
        <f>IF(VLOOKUP($F20,PAY!$A$11:$AE$349,12,FALSE)="-",#N/A,VLOOKUP($F20,PAY!$A$11:$AE$349,12,FALSE))</f>
        <v>436.6</v>
      </c>
      <c r="N20" s="80">
        <f>IF(VLOOKUP($F20,PAY!$A$11:$AE$349,14,FALSE)="-",#N/A,VLOOKUP($F20,PAY!$A$11:$AE$349,14,FALSE))</f>
        <v>445.5</v>
      </c>
      <c r="O20" s="80">
        <f>IF(VLOOKUP($F20,PAY!$A$11:$AE$349,16,FALSE)="-",#N/A,VLOOKUP($F20,PAY!$A$11:$AE$349,16,FALSE))</f>
        <v>450.2</v>
      </c>
      <c r="P20" s="80">
        <f>IF(VLOOKUP($F20,PAY!$A$11:$AE$349,18,FALSE)="-",#N/A,VLOOKUP($F20,PAY!$A$11:$AE$349,18,FALSE))</f>
        <v>478.1</v>
      </c>
      <c r="Q20" s="80">
        <f>IF(VLOOKUP($F20,PAY!$A$11:$AE$349,20,FALSE)="-",#N/A,VLOOKUP($F20,PAY!$A$11:$AE$349,20,FALSE))</f>
        <v>479.6</v>
      </c>
      <c r="R20" s="80">
        <f>IF(VLOOKUP($F20,PAY!$A$11:$AE$349,22,FALSE)="-",#N/A,VLOOKUP($F20,PAY!$A$11:$AE$349,22,FALSE))</f>
        <v>489.9</v>
      </c>
      <c r="S20" s="80">
        <f>IF(VLOOKUP($F20,PAY!$A$11:$AE$349,24,FALSE)="-",#N/A,VLOOKUP($F20,PAY!$A$11:$AE$349,24,FALSE))</f>
        <v>503.5</v>
      </c>
      <c r="T20" s="80">
        <f>IF(VLOOKUP($F20,PAY!$A$11:$AE$349,26,FALSE)="-",#N/A,VLOOKUP($F20,PAY!$A$11:$AE$349,26,FALSE))</f>
        <v>523.79999999999995</v>
      </c>
      <c r="U20" s="80">
        <f>IF(VLOOKUP($F20,PAY!$A$11:$AE$349,28,FALSE)="-",#N/A,VLOOKUP($F20,PAY!$A$11:$AE$349,28,FALSE))</f>
        <v>498.2</v>
      </c>
      <c r="V20" s="80">
        <f>IF(VLOOKUP($F20,PAY!$A$11:$AE$349,30,FALSE)="-",#N/A,VLOOKUP($F20,PAY!$A$11:$AE$349,30,FALSE))</f>
        <v>519.6</v>
      </c>
    </row>
    <row r="21" spans="1:26" ht="51" customHeight="1" x14ac:dyDescent="0.3">
      <c r="B21" s="56"/>
      <c r="C21" s="56"/>
      <c r="D21" s="56"/>
      <c r="F21" s="116" t="s">
        <v>1648</v>
      </c>
      <c r="G21" s="117"/>
      <c r="H21" s="118"/>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1" t="s">
        <v>1010</v>
      </c>
      <c r="G22" s="112"/>
      <c r="H22" s="113"/>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21" t="str">
        <f>"% Gap - "&amp;F20&amp;" to Rural as a Region"</f>
        <v>% Gap - County Durham to Rural as a Region</v>
      </c>
      <c r="G23" s="122"/>
      <c r="H23" s="123"/>
      <c r="I23" s="74">
        <f>100*((I20-I21)/I21)</f>
        <v>-10.437228121053366</v>
      </c>
      <c r="J23" s="74">
        <f t="shared" ref="J23:V23" si="2">100*((J20-J21)/J21)</f>
        <v>-7.421182125078678</v>
      </c>
      <c r="K23" s="74">
        <f t="shared" si="2"/>
        <v>-6.1843060487163042</v>
      </c>
      <c r="L23" s="74">
        <f t="shared" si="2"/>
        <v>-7.5120219315985599</v>
      </c>
      <c r="M23" s="74">
        <f t="shared" si="2"/>
        <v>-4.0951835436350663</v>
      </c>
      <c r="N23" s="74">
        <f t="shared" si="2"/>
        <v>-3.8154608014080105</v>
      </c>
      <c r="O23" s="74">
        <f t="shared" si="2"/>
        <v>-4.3760452123226177</v>
      </c>
      <c r="P23" s="74">
        <f t="shared" si="2"/>
        <v>0.69046597122436515</v>
      </c>
      <c r="Q23" s="74">
        <f t="shared" si="2"/>
        <v>-2.0189246711198412</v>
      </c>
      <c r="R23" s="74">
        <f t="shared" si="2"/>
        <v>-2.8086036086939883</v>
      </c>
      <c r="S23" s="74">
        <f t="shared" si="2"/>
        <v>-2.1238463927325912</v>
      </c>
      <c r="T23" s="74">
        <f t="shared" si="2"/>
        <v>-1.8547557811945823</v>
      </c>
      <c r="U23" s="74">
        <f t="shared" si="2"/>
        <v>-6.185538943212979</v>
      </c>
      <c r="V23" s="74">
        <f t="shared" si="2"/>
        <v>-7.9138472576020202</v>
      </c>
    </row>
    <row r="24" spans="1:26" ht="51" customHeight="1" x14ac:dyDescent="0.3">
      <c r="B24" s="56"/>
      <c r="C24" s="56"/>
      <c r="D24" s="56"/>
      <c r="F24" s="101" t="s">
        <v>1667</v>
      </c>
      <c r="G24" s="102"/>
      <c r="H24" s="103"/>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9" t="s">
        <v>1669</v>
      </c>
      <c r="G27" s="119"/>
      <c r="H27" s="120"/>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County Durham</v>
      </c>
      <c r="G28" s="88"/>
      <c r="H28" s="89"/>
      <c r="I28" s="76">
        <f>VLOOKUP($F28,EMPLOYMENT!$A$6:$BW$345,6,FALSE)</f>
        <v>67.099999999999994</v>
      </c>
      <c r="J28" s="77">
        <f>VLOOKUP($F28,EMPLOYMENT!$A$6:$BW$345,10,FALSE)</f>
        <v>68</v>
      </c>
      <c r="K28" s="77">
        <f>VLOOKUP($F28,EMPLOYMENT!$A$6:$BW$345,14,FALSE)</f>
        <v>70</v>
      </c>
      <c r="L28" s="77">
        <f>VLOOKUP($F28,EMPLOYMENT!$A$6:$BW$345,18,FALSE)</f>
        <v>71.5</v>
      </c>
      <c r="M28" s="77">
        <f>VLOOKUP($F28,EMPLOYMENT!$A$6:$BW$345,22,FALSE)</f>
        <v>69.8</v>
      </c>
      <c r="N28" s="77">
        <f>VLOOKUP($F28,EMPLOYMENT!$A$6:$BW$345,26,FALSE)</f>
        <v>66.599999999999994</v>
      </c>
      <c r="O28" s="77">
        <f>VLOOKUP($F28,EMPLOYMENT!$A$6:$BW$345,30,FALSE)</f>
        <v>66.2</v>
      </c>
      <c r="P28" s="77">
        <f>VLOOKUP($F28,EMPLOYMENT!$A$6:$BW$345,34,FALSE)</f>
        <v>67</v>
      </c>
      <c r="Q28" s="77">
        <f>VLOOKUP($F28,EMPLOYMENT!$A$6:$BW$345,38,FALSE)</f>
        <v>64.8</v>
      </c>
      <c r="R28" s="77">
        <f>VLOOKUP($F28,EMPLOYMENT!$A$6:$BW$345,42,FALSE)</f>
        <v>65.7</v>
      </c>
      <c r="S28" s="77">
        <f>VLOOKUP($F28,EMPLOYMENT!$A$6:$BW$345,46,FALSE)</f>
        <v>68.599999999999994</v>
      </c>
      <c r="T28" s="77">
        <f>VLOOKUP($F28,EMPLOYMENT!$A$6:$BW$345,50,FALSE)</f>
        <v>67.3</v>
      </c>
      <c r="U28" s="77">
        <f>VLOOKUP($F28,EMPLOYMENT!$A$6:$BW$345,54,FALSE)</f>
        <v>70.900000000000006</v>
      </c>
      <c r="V28" s="77">
        <f>VLOOKUP($F28,EMPLOYMENT!$A$6:$BW$345,58,FALSE)</f>
        <v>71.3</v>
      </c>
      <c r="W28" s="77">
        <f>VLOOKUP($F28,EMPLOYMENT!$A$6:$BW$345,62,FALSE)</f>
        <v>74.599999999999994</v>
      </c>
      <c r="X28" s="77">
        <f>VLOOKUP($F28,EMPLOYMENT!$A$6:$BW$345,66,FALSE)</f>
        <v>71.2</v>
      </c>
      <c r="Y28" s="77">
        <f>VLOOKUP($F28,EMPLOYMENT!$A$6:$BW$345,70,FALSE)</f>
        <v>71.400000000000006</v>
      </c>
      <c r="Z28" s="77">
        <f>VLOOKUP($F28,EMPLOYMENT!$A$6:$BW$345,74,FALSE)</f>
        <v>71.2</v>
      </c>
    </row>
    <row r="29" spans="1:26" ht="51" customHeight="1" x14ac:dyDescent="0.3">
      <c r="B29" s="56"/>
      <c r="C29" s="56"/>
      <c r="D29" s="56"/>
      <c r="F29" s="116" t="s">
        <v>1648</v>
      </c>
      <c r="G29" s="117"/>
      <c r="H29" s="118"/>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1" t="s">
        <v>1010</v>
      </c>
      <c r="G30" s="112"/>
      <c r="H30" s="113"/>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21" t="str">
        <f>"% Gap - "&amp;F28&amp;" to Rural as a Region"</f>
        <v>% Gap - County Durham to Rural as a Region</v>
      </c>
      <c r="G31" s="122"/>
      <c r="H31" s="123"/>
      <c r="I31" s="74">
        <f>(I28-I29)</f>
        <v>-9.0113419194017439</v>
      </c>
      <c r="J31" s="74">
        <f t="shared" ref="J31:Z31" si="4">(J28-J29)</f>
        <v>-8.3129754666829569</v>
      </c>
      <c r="K31" s="74">
        <f t="shared" si="4"/>
        <v>-5.8731888994867631</v>
      </c>
      <c r="L31" s="74">
        <f t="shared" si="4"/>
        <v>-4.1404683026278377</v>
      </c>
      <c r="M31" s="74">
        <f t="shared" si="4"/>
        <v>-5.9355243733317451</v>
      </c>
      <c r="N31" s="74">
        <f t="shared" si="4"/>
        <v>-7.9095398428731869</v>
      </c>
      <c r="O31" s="74">
        <f t="shared" si="4"/>
        <v>-7.3471331389698662</v>
      </c>
      <c r="P31" s="74">
        <f t="shared" si="4"/>
        <v>-6.7342954032776134</v>
      </c>
      <c r="Q31" s="74">
        <f t="shared" si="4"/>
        <v>-9.2331574754625763</v>
      </c>
      <c r="R31" s="74">
        <f t="shared" si="4"/>
        <v>-9.0444749299002041</v>
      </c>
      <c r="S31" s="74">
        <f t="shared" si="4"/>
        <v>-7.5088603400756142</v>
      </c>
      <c r="T31" s="74">
        <f t="shared" si="4"/>
        <v>-9.8905319756090222</v>
      </c>
      <c r="U31" s="74">
        <f t="shared" si="4"/>
        <v>-6.0716324817080363</v>
      </c>
      <c r="V31" s="74">
        <f t="shared" si="4"/>
        <v>-6.7327868852459005</v>
      </c>
      <c r="W31" s="74">
        <f t="shared" si="4"/>
        <v>-3.4481568934141507</v>
      </c>
      <c r="X31" s="74">
        <f t="shared" si="4"/>
        <v>-7.3912993789567025</v>
      </c>
      <c r="Y31" s="74">
        <f t="shared" si="4"/>
        <v>-5.6143462961291988</v>
      </c>
      <c r="Z31" s="74">
        <f t="shared" si="4"/>
        <v>-4.9557580778790395</v>
      </c>
    </row>
    <row r="32" spans="1:26" ht="51" customHeight="1" x14ac:dyDescent="0.3">
      <c r="B32" s="56"/>
      <c r="C32" s="56"/>
      <c r="D32" s="56"/>
      <c r="F32" s="101" t="s">
        <v>1667</v>
      </c>
      <c r="G32" s="102"/>
      <c r="H32" s="103"/>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04" t="s">
        <v>2</v>
      </c>
      <c r="B35" s="66" t="s">
        <v>1462</v>
      </c>
      <c r="C35" s="55"/>
      <c r="D35" s="55"/>
      <c r="F35" s="114" t="s">
        <v>1670</v>
      </c>
      <c r="G35" s="114"/>
      <c r="H35" s="115"/>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04"/>
      <c r="B36" s="67" t="s">
        <v>1633</v>
      </c>
      <c r="C36" s="56"/>
      <c r="D36" s="56"/>
      <c r="F36" s="87" t="str">
        <f>B4</f>
        <v>County Durham</v>
      </c>
      <c r="G36" s="88" t="str">
        <f>IFERROR(VLOOKUP(F36,GDHI!B338:C574,2,FALSE),VLOOKUP(F36,GDHI!C3:C336,1,FALSE))</f>
        <v>County Durham</v>
      </c>
      <c r="H36" s="89" t="str">
        <f>IF(F36=G36,"",G36)</f>
        <v/>
      </c>
      <c r="I36" s="83">
        <f>IFERROR(VLOOKUP($F36,GDHI!$B$338:$U$574,GDHI!G$578,FALSE),VLOOKUP($F36,GDHI!$C$3:$U$336,GDHI!F$578,FALSE))</f>
        <v>11674</v>
      </c>
      <c r="J36" s="84">
        <f>IFERROR(VLOOKUP($F36,GDHI!$B$338:$U$574,GDHI!H$578,FALSE),VLOOKUP($F36,GDHI!$C$3:$U$336,GDHI!G$578,FALSE))</f>
        <v>11934</v>
      </c>
      <c r="K36" s="84">
        <f>IFERROR(VLOOKUP($F36,GDHI!$B$338:$U$574,GDHI!I$578,FALSE),VLOOKUP($F36,GDHI!$C$3:$U$336,GDHI!H$578,FALSE))</f>
        <v>12265</v>
      </c>
      <c r="L36" s="84">
        <f>IFERROR(VLOOKUP($F36,GDHI!$B$338:$U$574,GDHI!J$578,FALSE),VLOOKUP($F36,GDHI!$C$3:$U$336,GDHI!I$578,FALSE))</f>
        <v>12544</v>
      </c>
      <c r="M36" s="84">
        <f>IFERROR(VLOOKUP($F36,GDHI!$B$338:$U$574,GDHI!K$578,FALSE),VLOOKUP($F36,GDHI!$C$3:$U$336,GDHI!J$578,FALSE))</f>
        <v>12788</v>
      </c>
      <c r="N36" s="84">
        <f>IFERROR(VLOOKUP($F36,GDHI!$B$338:$U$574,GDHI!L$578,FALSE),VLOOKUP($F36,GDHI!$C$3:$U$336,GDHI!K$578,FALSE))</f>
        <v>13185</v>
      </c>
      <c r="O36" s="84">
        <f>IFERROR(VLOOKUP($F36,GDHI!$B$338:$U$574,GDHI!M$578,FALSE),VLOOKUP($F36,GDHI!$C$3:$U$336,GDHI!L$578,FALSE))</f>
        <v>13603</v>
      </c>
      <c r="P36" s="84">
        <f>IFERROR(VLOOKUP($F36,GDHI!$B$338:$U$574,GDHI!N$578,FALSE),VLOOKUP($F36,GDHI!$C$3:$U$336,GDHI!M$578,FALSE))</f>
        <v>13758</v>
      </c>
      <c r="Q36" s="84">
        <f>IFERROR(VLOOKUP($F36,GDHI!$B$338:$U$574,GDHI!O$578,FALSE),VLOOKUP($F36,GDHI!$C$3:$U$336,GDHI!N$578,FALSE))</f>
        <v>14209</v>
      </c>
      <c r="R36" s="84">
        <f>IFERROR(VLOOKUP($F36,GDHI!$B$338:$U$574,GDHI!P$578,FALSE),VLOOKUP($F36,GDHI!$C$3:$U$336,GDHI!O$578,FALSE))</f>
        <v>14522</v>
      </c>
      <c r="S36" s="84">
        <f>IFERROR(VLOOKUP($F36,GDHI!$B$338:$U$574,GDHI!Q$578,FALSE),VLOOKUP($F36,GDHI!$C$3:$U$336,GDHI!P$578,FALSE))</f>
        <v>14926</v>
      </c>
      <c r="T36" s="84">
        <f>IFERROR(VLOOKUP($F36,GDHI!$B$338:$U$574,GDHI!R$578,FALSE),VLOOKUP($F36,GDHI!$C$3:$U$336,GDHI!Q$578,FALSE))</f>
        <v>15496</v>
      </c>
      <c r="U36" s="84">
        <f>IFERROR(VLOOKUP($F36,GDHI!$B$338:$U$574,GDHI!S$578,FALSE),VLOOKUP($F36,GDHI!$C$3:$U$336,GDHI!R$578,FALSE))</f>
        <v>15549</v>
      </c>
      <c r="V36" s="84">
        <f>IFERROR(VLOOKUP($F36,GDHI!$B$338:$U$574,GDHI!T$578,FALSE),VLOOKUP($F36,GDHI!$C$3:$U$336,GDHI!S$578,FALSE))</f>
        <v>15798</v>
      </c>
      <c r="W36" s="84">
        <f>IFERROR(VLOOKUP($F36,GDHI!$B$338:$U$574,GDHI!U$578,FALSE),VLOOKUP($F36,GDHI!$C$3:$U$336,GDHI!T$578,FALSE))</f>
        <v>16315</v>
      </c>
      <c r="X36" s="84">
        <f>IFERROR(VLOOKUP($F36,GDHI!$B$338:$U$574,GDHI!V$578,FALSE),VLOOKUP($F36,GDHI!$C$3:$U$336,GDHI!U$578,FALSE))</f>
        <v>16617</v>
      </c>
    </row>
    <row r="37" spans="1:24" ht="51" customHeight="1" x14ac:dyDescent="0.3">
      <c r="B37" s="56"/>
      <c r="C37" s="56"/>
      <c r="D37" s="56"/>
      <c r="F37" s="116" t="s">
        <v>1648</v>
      </c>
      <c r="G37" s="117"/>
      <c r="H37" s="118"/>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1" t="s">
        <v>1010</v>
      </c>
      <c r="G38" s="112"/>
      <c r="H38" s="113"/>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21" t="str">
        <f>"% Gap - "&amp;F36&amp;" to Rural as a Region"</f>
        <v>% Gap - County Durham to Rural as a Region</v>
      </c>
      <c r="G39" s="122"/>
      <c r="H39" s="123"/>
      <c r="I39" s="74">
        <f>100*((I36-I37)/I37)</f>
        <v>-20.63632346442775</v>
      </c>
      <c r="J39" s="74">
        <f t="shared" ref="J39:X39" si="6">100*((J36-J37)/J37)</f>
        <v>-22.210694500811297</v>
      </c>
      <c r="K39" s="74">
        <f t="shared" si="6"/>
        <v>-22.978758715968752</v>
      </c>
      <c r="L39" s="74">
        <f t="shared" si="6"/>
        <v>-24.28859970382123</v>
      </c>
      <c r="M39" s="74">
        <f t="shared" si="6"/>
        <v>-25.055831797857142</v>
      </c>
      <c r="N39" s="74">
        <f t="shared" si="6"/>
        <v>-23.754909283666244</v>
      </c>
      <c r="O39" s="74">
        <f t="shared" si="6"/>
        <v>-22.303719745829273</v>
      </c>
      <c r="P39" s="74">
        <f t="shared" si="6"/>
        <v>-22.708071942022624</v>
      </c>
      <c r="Q39" s="74">
        <f t="shared" si="6"/>
        <v>-22.635719813789958</v>
      </c>
      <c r="R39" s="74">
        <f t="shared" si="6"/>
        <v>-23.057932611795938</v>
      </c>
      <c r="S39" s="74">
        <f t="shared" si="6"/>
        <v>-23.046130560552687</v>
      </c>
      <c r="T39" s="74">
        <f t="shared" si="6"/>
        <v>-24.255892632071415</v>
      </c>
      <c r="U39" s="74">
        <f t="shared" si="6"/>
        <v>-24.610560972287324</v>
      </c>
      <c r="V39" s="74">
        <f t="shared" si="6"/>
        <v>-24.647592613938667</v>
      </c>
      <c r="W39" s="74">
        <f t="shared" si="6"/>
        <v>-25.304052175865728</v>
      </c>
      <c r="X39" s="74">
        <f t="shared" si="6"/>
        <v>-25.367607154257332</v>
      </c>
    </row>
    <row r="40" spans="1:24" ht="51" customHeight="1" x14ac:dyDescent="0.3">
      <c r="B40" s="56"/>
      <c r="C40" s="56"/>
      <c r="D40" s="56"/>
      <c r="F40" s="101" t="s">
        <v>1667</v>
      </c>
      <c r="G40" s="102"/>
      <c r="H40" s="103"/>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9" t="s">
        <v>1671</v>
      </c>
      <c r="G43" s="119"/>
      <c r="H43" s="120"/>
      <c r="I43" s="99">
        <v>2017</v>
      </c>
      <c r="J43" s="91">
        <v>2018</v>
      </c>
    </row>
    <row r="44" spans="1:24" ht="51" customHeight="1" thickTop="1" x14ac:dyDescent="0.3">
      <c r="B44" s="69" t="s">
        <v>1634</v>
      </c>
      <c r="C44" s="56"/>
      <c r="D44" s="56"/>
      <c r="F44" s="87" t="str">
        <f>B4</f>
        <v>County Durham</v>
      </c>
      <c r="G44" s="88"/>
      <c r="H44" s="89"/>
      <c r="I44" s="76">
        <f>VLOOKUP($F44,'LOW PAID'!$A$9:$N$444,6,FALSE)</f>
        <v>28.1</v>
      </c>
      <c r="J44" s="77">
        <f>VLOOKUP($F44,'LOW PAID'!$P$9:$W$444,6,FALSE)</f>
        <v>24.4</v>
      </c>
    </row>
    <row r="45" spans="1:24" ht="51" customHeight="1" x14ac:dyDescent="0.3">
      <c r="B45" s="56"/>
      <c r="C45" s="56"/>
      <c r="D45" s="56"/>
      <c r="F45" s="116" t="s">
        <v>1648</v>
      </c>
      <c r="G45" s="117"/>
      <c r="H45" s="118"/>
      <c r="I45" s="71">
        <f>VLOOKUP("Predominantly Rural",'LOW PAID'!$A$9:$N$444,6,FALSE)</f>
        <v>25.193874678213117</v>
      </c>
      <c r="J45" s="61">
        <f>VLOOKUP("Predominantly Rural",'LOW PAID'!$P$9:$W$444,6,FALSE)</f>
        <v>25.686116509030054</v>
      </c>
    </row>
    <row r="46" spans="1:24" ht="51" customHeight="1" thickBot="1" x14ac:dyDescent="0.35">
      <c r="B46" s="56"/>
      <c r="C46" s="56"/>
      <c r="D46" s="56"/>
      <c r="F46" s="111" t="s">
        <v>1010</v>
      </c>
      <c r="G46" s="112"/>
      <c r="H46" s="113"/>
      <c r="I46" s="78">
        <f>VLOOKUP($F46,'LOW PAID'!$A$9:$N$444,6,FALSE)</f>
        <v>22.2</v>
      </c>
      <c r="J46" s="79">
        <f>VLOOKUP($F46,'LOW PAID'!$P$9:$W$444,6,FALSE)</f>
        <v>22.9</v>
      </c>
    </row>
    <row r="47" spans="1:24" ht="51" customHeight="1" thickTop="1" x14ac:dyDescent="0.3">
      <c r="B47" s="56"/>
      <c r="C47" s="56"/>
      <c r="D47" s="56"/>
      <c r="F47" s="121" t="str">
        <f>"% Gap - "&amp;F44&amp;" to Rural as a Region"</f>
        <v>% Gap - County Durham to Rural as a Region</v>
      </c>
      <c r="G47" s="122"/>
      <c r="H47" s="123"/>
      <c r="I47" s="74">
        <f>(I44-I45)</f>
        <v>2.9061253217868845</v>
      </c>
      <c r="J47" s="74">
        <f>(J44-J45)</f>
        <v>-1.2861165090300553</v>
      </c>
    </row>
    <row r="48" spans="1:24" ht="51" customHeight="1" x14ac:dyDescent="0.3">
      <c r="B48" s="56"/>
      <c r="C48" s="56"/>
      <c r="D48" s="56"/>
      <c r="F48" s="101" t="s">
        <v>1667</v>
      </c>
      <c r="G48" s="102"/>
      <c r="H48" s="103"/>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04" t="s">
        <v>1665</v>
      </c>
      <c r="B51" s="66" t="s">
        <v>1462</v>
      </c>
      <c r="C51" s="55"/>
      <c r="D51" s="55"/>
      <c r="F51" s="106" t="s">
        <v>1672</v>
      </c>
      <c r="G51" s="106"/>
      <c r="H51" s="107"/>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04"/>
      <c r="B52" s="70" t="s">
        <v>1633</v>
      </c>
      <c r="C52" s="56"/>
      <c r="D52" s="56"/>
      <c r="F52" s="87" t="str">
        <f>B4</f>
        <v>County Durham</v>
      </c>
      <c r="G52" s="88"/>
      <c r="H52" s="89"/>
      <c r="I52" s="76">
        <f>VLOOKUP($F52,INACTIVITY!$A$6:$BW$345,6,FALSE)</f>
        <v>29.4</v>
      </c>
      <c r="J52" s="77">
        <f>VLOOKUP($F52,INACTIVITY!$A$6:$BW$345,10,FALSE)</f>
        <v>28.8</v>
      </c>
      <c r="K52" s="77">
        <f>VLOOKUP($F52,INACTIVITY!$A$6:$BW$345,14,FALSE)</f>
        <v>25.1</v>
      </c>
      <c r="L52" s="77">
        <f>VLOOKUP($F52,INACTIVITY!$A$6:$BW$345,18,FALSE)</f>
        <v>24.6</v>
      </c>
      <c r="M52" s="77">
        <f>VLOOKUP($F52,INACTIVITY!$A$6:$BW$345,22,FALSE)</f>
        <v>25</v>
      </c>
      <c r="N52" s="77">
        <f>VLOOKUP($F52,INACTIVITY!$A$6:$BW$345,26,FALSE)</f>
        <v>27</v>
      </c>
      <c r="O52" s="77">
        <f>VLOOKUP($F52,INACTIVITY!$A$6:$BW$345,30,FALSE)</f>
        <v>27.2</v>
      </c>
      <c r="P52" s="77">
        <f>VLOOKUP($F52,INACTIVITY!$A$6:$BW$345,34,FALSE)</f>
        <v>26.9</v>
      </c>
      <c r="Q52" s="77">
        <f>VLOOKUP($F52,INACTIVITY!$A$6:$BW$345,38,FALSE)</f>
        <v>27</v>
      </c>
      <c r="R52" s="77">
        <f>VLOOKUP($F52,INACTIVITY!$A$6:$BW$345,42,FALSE)</f>
        <v>26.9</v>
      </c>
      <c r="S52" s="77">
        <f>VLOOKUP($F52,INACTIVITY!$A$6:$BW$345,46,FALSE)</f>
        <v>25.2</v>
      </c>
      <c r="T52" s="77">
        <f>VLOOKUP($F52,INACTIVITY!$A$6:$BW$345,50,FALSE)</f>
        <v>27</v>
      </c>
      <c r="U52" s="77">
        <f>VLOOKUP($F52,INACTIVITY!$A$6:$BW$345,54,FALSE)</f>
        <v>24.1</v>
      </c>
      <c r="V52" s="77">
        <f>VLOOKUP($F52,INACTIVITY!$A$6:$BW$345,58,FALSE)</f>
        <v>23.8</v>
      </c>
      <c r="W52" s="77">
        <f>VLOOKUP($F52,INACTIVITY!$A$6:$BW$345,62,FALSE)</f>
        <v>22.5</v>
      </c>
      <c r="X52" s="77">
        <f>VLOOKUP($F52,INACTIVITY!$A$6:$BW$345,66,FALSE)</f>
        <v>24.5</v>
      </c>
      <c r="Y52" s="77">
        <f>VLOOKUP($F52,INACTIVITY!$A$6:$BW$345,70,FALSE)</f>
        <v>23</v>
      </c>
      <c r="Z52" s="77">
        <f>VLOOKUP($F52,INACTIVITY!$A$6:$BW$345,74,FALSE)</f>
        <v>25.8</v>
      </c>
    </row>
    <row r="53" spans="1:26" ht="51" customHeight="1" x14ac:dyDescent="0.3">
      <c r="B53" s="56"/>
      <c r="C53" s="56"/>
      <c r="D53" s="56"/>
      <c r="F53" s="116" t="s">
        <v>1648</v>
      </c>
      <c r="G53" s="117"/>
      <c r="H53" s="118"/>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1" t="s">
        <v>1010</v>
      </c>
      <c r="G54" s="112"/>
      <c r="H54" s="113"/>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21" t="str">
        <f>"% Gap - "&amp;F52&amp;" to Rural as a Region"</f>
        <v>% Gap - County Durham to Rural as a Region</v>
      </c>
      <c r="G55" s="122"/>
      <c r="H55" s="123"/>
      <c r="I55" s="74">
        <f>(I52-I53)</f>
        <v>8.0043554283897613</v>
      </c>
      <c r="J55" s="74">
        <f t="shared" ref="J55:Z55" si="10">(J52-J53)</f>
        <v>7.7914772727272741</v>
      </c>
      <c r="K55" s="74">
        <f t="shared" si="10"/>
        <v>4.2375346065412245</v>
      </c>
      <c r="L55" s="74">
        <f t="shared" si="10"/>
        <v>3.2859346684633621</v>
      </c>
      <c r="M55" s="74">
        <f t="shared" si="10"/>
        <v>4.1649976891079952</v>
      </c>
      <c r="N55" s="74">
        <f t="shared" si="10"/>
        <v>6.0668562420795595</v>
      </c>
      <c r="O55" s="74">
        <f t="shared" si="10"/>
        <v>5.5080628724948255</v>
      </c>
      <c r="P55" s="74">
        <f t="shared" si="10"/>
        <v>5.4057542192465498</v>
      </c>
      <c r="Q55" s="74">
        <f t="shared" si="10"/>
        <v>5.8174512055109062</v>
      </c>
      <c r="R55" s="74">
        <f t="shared" si="10"/>
        <v>6.1254069025612274</v>
      </c>
      <c r="S55" s="74">
        <f t="shared" si="10"/>
        <v>4.9267895440275993</v>
      </c>
      <c r="T55" s="74">
        <f t="shared" si="10"/>
        <v>7.3038053165930421</v>
      </c>
      <c r="U55" s="74">
        <f t="shared" si="10"/>
        <v>4.2475706529305306</v>
      </c>
      <c r="V55" s="74">
        <f t="shared" si="10"/>
        <v>4.5467226657196242</v>
      </c>
      <c r="W55" s="74">
        <f t="shared" si="10"/>
        <v>3.3230439908171512</v>
      </c>
      <c r="X55" s="74">
        <f t="shared" si="10"/>
        <v>5.6479350506350698</v>
      </c>
      <c r="Y55" s="74">
        <f t="shared" si="10"/>
        <v>3.227417278128538</v>
      </c>
      <c r="Z55" s="74">
        <f t="shared" si="10"/>
        <v>4.7148202243699302</v>
      </c>
    </row>
    <row r="56" spans="1:26" ht="51" customHeight="1" x14ac:dyDescent="0.3">
      <c r="B56" s="56"/>
      <c r="C56" s="56"/>
      <c r="D56" s="56"/>
      <c r="F56" s="101" t="s">
        <v>1667</v>
      </c>
      <c r="G56" s="102"/>
      <c r="H56" s="103"/>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9" t="s">
        <v>1673</v>
      </c>
      <c r="G59" s="119"/>
      <c r="H59" s="120"/>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County Durham</v>
      </c>
      <c r="G60" s="88"/>
      <c r="H60" s="89"/>
      <c r="I60" s="76">
        <f>VLOOKUP($F60,DISABILITY!$A$718:$I$1052,DISABILITY!B$1053,FALSE)</f>
        <v>36.000000000000007</v>
      </c>
      <c r="J60" s="77">
        <f>VLOOKUP($F60,DISABILITY!$A$718:$I$1052,DISABILITY!C$1053,FALSE)</f>
        <v>39.6</v>
      </c>
      <c r="K60" s="77">
        <f>VLOOKUP($F60,DISABILITY!$A$718:$I$1052,DISABILITY!D$1053,FALSE)</f>
        <v>46.7</v>
      </c>
      <c r="L60" s="77">
        <f>VLOOKUP($F60,DISABILITY!$A$718:$I$1052,DISABILITY!E$1053,FALSE)</f>
        <v>38.800000000000004</v>
      </c>
      <c r="M60" s="77">
        <f>VLOOKUP($F60,DISABILITY!$A$718:$I$1052,DISABILITY!F$1053,FALSE)</f>
        <v>33.800000000000004</v>
      </c>
      <c r="N60" s="77">
        <f>VLOOKUP($F60,DISABILITY!$A$718:$I$1052,DISABILITY!G$1053,FALSE)</f>
        <v>35.9</v>
      </c>
      <c r="O60" s="77">
        <f>VLOOKUP($F60,DISABILITY!$A$718:$I$1052,DISABILITY!H$1053,FALSE)</f>
        <v>31.200000000000003</v>
      </c>
      <c r="P60" s="77">
        <f>VLOOKUP($F60,DISABILITY!$A$718:$I$1052,DISABILITY!I$1053,FALSE)</f>
        <v>30.799999999999997</v>
      </c>
    </row>
    <row r="61" spans="1:26" ht="51" customHeight="1" x14ac:dyDescent="0.3">
      <c r="B61" s="56"/>
      <c r="C61" s="56"/>
      <c r="D61" s="56"/>
      <c r="F61" s="116" t="s">
        <v>1648</v>
      </c>
      <c r="G61" s="117"/>
      <c r="H61" s="118"/>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1" t="s">
        <v>1010</v>
      </c>
      <c r="G62" s="112"/>
      <c r="H62" s="113"/>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21" t="str">
        <f>"% Gap - "&amp;F60&amp;" to Rural as a Region"</f>
        <v>% Gap - County Durham to Rural as a Region</v>
      </c>
      <c r="G63" s="122"/>
      <c r="H63" s="123"/>
      <c r="I63" s="74">
        <f>(I60-I61)</f>
        <v>8.5798434593527588</v>
      </c>
      <c r="J63" s="74">
        <f t="shared" ref="J63:P63" si="12">(J60-J61)</f>
        <v>12.280955592948814</v>
      </c>
      <c r="K63" s="74">
        <f t="shared" si="12"/>
        <v>18.580871638501797</v>
      </c>
      <c r="L63" s="74">
        <f t="shared" si="12"/>
        <v>12.809065461003328</v>
      </c>
      <c r="M63" s="74">
        <f t="shared" si="12"/>
        <v>8.3247741813338862</v>
      </c>
      <c r="N63" s="74">
        <f t="shared" si="12"/>
        <v>10.368752314558016</v>
      </c>
      <c r="O63" s="74">
        <f t="shared" si="12"/>
        <v>7.4027777120030578</v>
      </c>
      <c r="P63" s="74">
        <f t="shared" si="12"/>
        <v>5.4458220696578223</v>
      </c>
    </row>
    <row r="64" spans="1:26" ht="51" customHeight="1" x14ac:dyDescent="0.3">
      <c r="B64" s="56"/>
      <c r="C64" s="56"/>
      <c r="D64" s="56"/>
      <c r="F64" s="101" t="s">
        <v>1667</v>
      </c>
      <c r="G64" s="102"/>
      <c r="H64" s="103"/>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06" t="s">
        <v>1674</v>
      </c>
      <c r="G67" s="106"/>
      <c r="H67" s="107"/>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County Durham</v>
      </c>
      <c r="G68" s="88"/>
      <c r="H68" s="89"/>
      <c r="I68" s="76">
        <f>VLOOKUP($F68,'WORKLESS HOUSEHOLDS'!$DW$4:$EC$397,7,FALSE)</f>
        <v>16.395995343807357</v>
      </c>
      <c r="J68" s="77">
        <f>VLOOKUP($F68,'WORKLESS HOUSEHOLDS'!$DN$4:$DT$397,7,FALSE)</f>
        <v>14.618275216166543</v>
      </c>
      <c r="K68" s="77">
        <f>VLOOKUP($F68,'WORKLESS HOUSEHOLDS'!$DE$4:$DK$397,7,FALSE)</f>
        <v>15.62272518612507</v>
      </c>
      <c r="L68" s="77">
        <f>VLOOKUP($F68,'WORKLESS HOUSEHOLDS'!$CV$4:$DB$397,7,FALSE)</f>
        <v>20.148516921090913</v>
      </c>
      <c r="M68" s="77">
        <f>VLOOKUP($F68,'WORKLESS HOUSEHOLDS'!$CM$4:$CS$397,7,FALSE)</f>
        <v>18.585008438395061</v>
      </c>
      <c r="N68" s="77">
        <f>VLOOKUP($F68,'WORKLESS HOUSEHOLDS'!$CD$4:$CJ$397,7,FALSE)</f>
        <v>20.151048193179125</v>
      </c>
      <c r="O68" s="77">
        <f>VLOOKUP($F68,'WORKLESS HOUSEHOLDS'!$BU$4:$CA$397,7,FALSE)</f>
        <v>21.177997320830542</v>
      </c>
      <c r="P68" s="77">
        <f>VLOOKUP($F68,'WORKLESS HOUSEHOLDS'!$BL$4:$BR$397,7,FALSE)</f>
        <v>20.280213379115825</v>
      </c>
      <c r="Q68" s="77">
        <f>VLOOKUP($F68,'WORKLESS HOUSEHOLDS'!$BC$4:$BI$397,7,FALSE)</f>
        <v>22.186508956886946</v>
      </c>
      <c r="R68" s="77">
        <f>VLOOKUP($F68,'WORKLESS HOUSEHOLDS'!$AT$4:$AZ$397,7,FALSE)</f>
        <v>19.28956502473968</v>
      </c>
      <c r="S68" s="77">
        <f>VLOOKUP($F68,'WORKLESS HOUSEHOLDS'!$AK$4:$AQ$397,7,FALSE)</f>
        <v>13.375110265898337</v>
      </c>
      <c r="T68" s="77">
        <f>VLOOKUP($F68,'WORKLESS HOUSEHOLDS'!$AB$4:$AH$397,7,FALSE)</f>
        <v>14.300555815282323</v>
      </c>
      <c r="U68" s="77">
        <f>VLOOKUP($F68,'WORKLESS HOUSEHOLDS'!$S$4:$Y$397,7,FALSE)</f>
        <v>18.785611106652755</v>
      </c>
      <c r="V68" s="77">
        <f>VLOOKUP($F68,'WORKLESS HOUSEHOLDS'!$J$4:$P$397,7,FALSE)</f>
        <v>18.458310415775429</v>
      </c>
      <c r="W68" s="77">
        <f>VLOOKUP($F68,'WORKLESS HOUSEHOLDS'!$B$4:$H$397,7,FALSE)</f>
        <v>14.834582093126688</v>
      </c>
    </row>
    <row r="69" spans="1:26" ht="51" customHeight="1" x14ac:dyDescent="0.3">
      <c r="B69" s="56"/>
      <c r="C69" s="56"/>
      <c r="D69" s="56"/>
      <c r="F69" s="108" t="s">
        <v>1648</v>
      </c>
      <c r="G69" s="109"/>
      <c r="H69" s="110"/>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1" t="s">
        <v>1010</v>
      </c>
      <c r="G70" s="112"/>
      <c r="H70" s="113"/>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21" t="str">
        <f>"% Gap - "&amp;F68&amp;" to Rural as a Region"</f>
        <v>% Gap - County Durham to Rural as a Region</v>
      </c>
      <c r="G71" s="122"/>
      <c r="H71" s="123"/>
      <c r="I71" s="74">
        <f>(I68-I69)</f>
        <v>6.3840494812206661</v>
      </c>
      <c r="J71" s="74">
        <f t="shared" ref="J71:W71" si="14">(J68-J69)</f>
        <v>3.7071203786915188</v>
      </c>
      <c r="K71" s="74">
        <f t="shared" si="14"/>
        <v>5.3294794569692261</v>
      </c>
      <c r="L71" s="74">
        <f t="shared" si="14"/>
        <v>9.1825102597611803</v>
      </c>
      <c r="M71" s="74">
        <f t="shared" si="14"/>
        <v>6.8912292572065876</v>
      </c>
      <c r="N71" s="74">
        <f t="shared" si="14"/>
        <v>8.2499485139237443</v>
      </c>
      <c r="O71" s="74">
        <f t="shared" si="14"/>
        <v>10.14274407308803</v>
      </c>
      <c r="P71" s="74">
        <f t="shared" si="14"/>
        <v>10.588715493347987</v>
      </c>
      <c r="Q71" s="74">
        <f t="shared" si="14"/>
        <v>11.381330696488535</v>
      </c>
      <c r="R71" s="74">
        <f t="shared" si="14"/>
        <v>8.5834687010101263</v>
      </c>
      <c r="S71" s="74">
        <f t="shared" si="14"/>
        <v>3.2223654377494562</v>
      </c>
      <c r="T71" s="74">
        <f t="shared" si="14"/>
        <v>4.3968876206495722</v>
      </c>
      <c r="U71" s="74">
        <f t="shared" si="14"/>
        <v>8.0235609419732796</v>
      </c>
      <c r="V71" s="74">
        <f t="shared" si="14"/>
        <v>8.5194419392357812</v>
      </c>
      <c r="W71" s="74">
        <f t="shared" si="14"/>
        <v>4.4818806699424947</v>
      </c>
    </row>
    <row r="72" spans="1:26" ht="51" customHeight="1" x14ac:dyDescent="0.3">
      <c r="B72" s="56"/>
      <c r="C72" s="56"/>
      <c r="D72" s="56"/>
      <c r="F72" s="101" t="s">
        <v>1667</v>
      </c>
      <c r="G72" s="102"/>
      <c r="H72" s="103"/>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04" t="s">
        <v>6</v>
      </c>
      <c r="B75" s="66" t="s">
        <v>1462</v>
      </c>
      <c r="C75" s="55"/>
      <c r="D75" s="55"/>
      <c r="F75" s="114" t="s">
        <v>1675</v>
      </c>
      <c r="G75" s="114"/>
      <c r="H75" s="115"/>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04"/>
      <c r="B76" s="67" t="s">
        <v>1633</v>
      </c>
      <c r="C76" s="56"/>
      <c r="D76" s="56"/>
      <c r="F76" s="87" t="str">
        <f>B4</f>
        <v>County Durham</v>
      </c>
      <c r="G76" s="88"/>
      <c r="H76" s="89"/>
      <c r="I76" s="76">
        <f>VLOOKUP($F76,'SKILLED EMPLOYMENT'!$A$1506:$BW$1841,6,FALSE)</f>
        <v>45.300000000000004</v>
      </c>
      <c r="J76" s="77">
        <f>VLOOKUP($F76,'SKILLED EMPLOYMENT'!$A$1506:$BW$1841,10,FALSE)</f>
        <v>46.300000000000004</v>
      </c>
      <c r="K76" s="77">
        <f>VLOOKUP($F76,'SKILLED EMPLOYMENT'!$A$1506:$BW$1841,14,FALSE)</f>
        <v>47.3</v>
      </c>
      <c r="L76" s="77">
        <f>VLOOKUP($F76,'SKILLED EMPLOYMENT'!$A$1506:$BW$1841,18,FALSE)</f>
        <v>49</v>
      </c>
      <c r="M76" s="77">
        <f>VLOOKUP($F76,'SKILLED EMPLOYMENT'!$A$1506:$BW$1841,22,FALSE)</f>
        <v>47.5</v>
      </c>
      <c r="N76" s="77">
        <f>VLOOKUP($F76,'SKILLED EMPLOYMENT'!$A$1506:$BW$1841,26,FALSE)</f>
        <v>49.599999999999994</v>
      </c>
      <c r="O76" s="77">
        <f>VLOOKUP($F76,'SKILLED EMPLOYMENT'!$A$1506:$BW$1841,30,FALSE)</f>
        <v>49</v>
      </c>
      <c r="P76" s="77">
        <f>VLOOKUP($F76,'SKILLED EMPLOYMENT'!$A$1506:$BW$1841,34,FALSE)</f>
        <v>50.5</v>
      </c>
      <c r="Q76" s="77">
        <f>VLOOKUP($F76,'SKILLED EMPLOYMENT'!$A$1506:$BW$1841,38,FALSE)</f>
        <v>46.4</v>
      </c>
      <c r="R76" s="77">
        <f>VLOOKUP($F76,'SKILLED EMPLOYMENT'!$A$1506:$BW$1841,42,FALSE)</f>
        <v>46.400000000000006</v>
      </c>
      <c r="S76" s="77">
        <f>VLOOKUP($F76,'SKILLED EMPLOYMENT'!$A$1506:$BW$1841,46,FALSE)</f>
        <v>50.9</v>
      </c>
      <c r="T76" s="77">
        <f>VLOOKUP($F76,'SKILLED EMPLOYMENT'!$A$1506:$BW$1841,50,FALSE)</f>
        <v>51.199999999999996</v>
      </c>
      <c r="U76" s="77">
        <f>VLOOKUP($F76,'SKILLED EMPLOYMENT'!$A$1506:$BW$1841,54,FALSE)</f>
        <v>51.3</v>
      </c>
      <c r="V76" s="77">
        <f>VLOOKUP($F76,'SKILLED EMPLOYMENT'!$A$1506:$BW$1841,58,FALSE)</f>
        <v>52.599999999999994</v>
      </c>
      <c r="W76" s="77">
        <f>VLOOKUP($F76,'SKILLED EMPLOYMENT'!$A$1506:$BW$1841,62,FALSE)</f>
        <v>50.099999999999994</v>
      </c>
      <c r="X76" s="77">
        <f>VLOOKUP($F76,'SKILLED EMPLOYMENT'!$A$1506:$BW$1841,66,FALSE)</f>
        <v>51.600000000000009</v>
      </c>
      <c r="Y76" s="77">
        <f>VLOOKUP($F76,'SKILLED EMPLOYMENT'!$A$1506:$BW$1841,70,FALSE)</f>
        <v>52.5</v>
      </c>
      <c r="Z76" s="77">
        <f>VLOOKUP($F76,'SKILLED EMPLOYMENT'!$A$1506:$BW$1841,74,FALSE)</f>
        <v>52.5</v>
      </c>
    </row>
    <row r="77" spans="1:26" ht="51" customHeight="1" x14ac:dyDescent="0.3">
      <c r="F77" s="116" t="s">
        <v>1648</v>
      </c>
      <c r="G77" s="117"/>
      <c r="H77" s="118"/>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1" t="s">
        <v>1010</v>
      </c>
      <c r="G78" s="112"/>
      <c r="H78" s="113"/>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21" t="str">
        <f>"% Gap - "&amp;F76&amp;" to Rural as a Region"</f>
        <v>% Gap - County Durham to Rural as a Region</v>
      </c>
      <c r="G79" s="122"/>
      <c r="H79" s="123"/>
      <c r="I79" s="74">
        <f>(I76-I77)</f>
        <v>-7.3999999999999986</v>
      </c>
      <c r="J79" s="74">
        <f t="shared" ref="J79:Z79" si="17">(J76-J77)</f>
        <v>-6.5999999999999943</v>
      </c>
      <c r="K79" s="74">
        <f t="shared" si="17"/>
        <v>-6.2000000000000028</v>
      </c>
      <c r="L79" s="74">
        <f t="shared" si="17"/>
        <v>-5</v>
      </c>
      <c r="M79" s="74">
        <f t="shared" si="17"/>
        <v>-6.6000000000000014</v>
      </c>
      <c r="N79" s="74">
        <f t="shared" si="17"/>
        <v>-4.8000000000000043</v>
      </c>
      <c r="O79" s="74">
        <f t="shared" si="17"/>
        <v>-6.3999999999999986</v>
      </c>
      <c r="P79" s="74">
        <f t="shared" si="17"/>
        <v>-5.1000000000000014</v>
      </c>
      <c r="Q79" s="74">
        <f t="shared" si="17"/>
        <v>-9</v>
      </c>
      <c r="R79" s="74">
        <f t="shared" si="17"/>
        <v>-9.7999999999999972</v>
      </c>
      <c r="S79" s="74">
        <f t="shared" si="17"/>
        <v>-5.3000000000000043</v>
      </c>
      <c r="T79" s="74">
        <f t="shared" si="17"/>
        <v>-5.6000000000000014</v>
      </c>
      <c r="U79" s="74">
        <f t="shared" si="17"/>
        <v>-5.3000000000000043</v>
      </c>
      <c r="V79" s="74">
        <f t="shared" si="17"/>
        <v>-4.5000000000000071</v>
      </c>
      <c r="W79" s="74">
        <f t="shared" si="17"/>
        <v>-7.7000000000000028</v>
      </c>
      <c r="X79" s="74">
        <f t="shared" si="17"/>
        <v>-7.1999999999999886</v>
      </c>
      <c r="Y79" s="74">
        <f t="shared" si="17"/>
        <v>-6.2000000000000028</v>
      </c>
      <c r="Z79" s="74">
        <f t="shared" si="17"/>
        <v>-5.8999999999999986</v>
      </c>
    </row>
    <row r="80" spans="1:26" ht="51" customHeight="1" x14ac:dyDescent="0.3">
      <c r="F80" s="101" t="s">
        <v>1667</v>
      </c>
      <c r="G80" s="102"/>
      <c r="H80" s="103"/>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nL6IHseF4X3vexap6ULTWR9g5RVNyGqGlqaUVvV9CcGUHQt+4mff0bcGEdRvTsYYvXXseAumNAVlxCwT4xp6fg==" saltValue="L95SP67mcncvFxldAadGkw==" spinCount="100000" sheet="1" objects="1" scenarios="1"/>
  <mergeCells count="49">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 ref="F31:H31"/>
    <mergeCell ref="F32:H32"/>
    <mergeCell ref="F39:H39"/>
    <mergeCell ref="F40:H40"/>
    <mergeCell ref="F47:H47"/>
    <mergeCell ref="F22:H22"/>
    <mergeCell ref="F27:H27"/>
    <mergeCell ref="F29:H29"/>
    <mergeCell ref="F30:H30"/>
    <mergeCell ref="F11:H11"/>
    <mergeCell ref="F13:H13"/>
    <mergeCell ref="F14:H14"/>
    <mergeCell ref="F15:H15"/>
    <mergeCell ref="F16:H16"/>
    <mergeCell ref="F23:H23"/>
    <mergeCell ref="F24:H24"/>
    <mergeCell ref="F21:H21"/>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37" t="s">
        <v>1044</v>
      </c>
      <c r="F3" s="138"/>
      <c r="P3" s="8"/>
      <c r="Q3" s="8"/>
      <c r="R3" s="8"/>
      <c r="S3" s="9"/>
      <c r="T3" s="137" t="s">
        <v>1044</v>
      </c>
      <c r="U3" s="138"/>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28" t="s">
        <v>1052</v>
      </c>
      <c r="J7" s="128"/>
      <c r="K7" s="128"/>
      <c r="L7" s="128"/>
      <c r="M7" s="128"/>
      <c r="N7" s="129"/>
      <c r="P7" s="16" t="s">
        <v>1009</v>
      </c>
      <c r="Q7" s="16"/>
      <c r="R7" s="16"/>
      <c r="S7" s="17" t="s">
        <v>483</v>
      </c>
      <c r="T7" s="18">
        <v>6058</v>
      </c>
      <c r="U7" s="19">
        <v>22.7</v>
      </c>
      <c r="W7" s="20" t="s">
        <v>1051</v>
      </c>
      <c r="X7" s="128" t="s">
        <v>1052</v>
      </c>
      <c r="Y7" s="128"/>
      <c r="Z7" s="128"/>
      <c r="AA7" s="128"/>
      <c r="AB7" s="128"/>
      <c r="AC7" s="129"/>
    </row>
    <row r="8" spans="1:29" x14ac:dyDescent="0.3">
      <c r="A8" s="16" t="s">
        <v>1053</v>
      </c>
      <c r="B8" s="16"/>
      <c r="C8" s="16"/>
      <c r="D8" s="17" t="s">
        <v>1054</v>
      </c>
      <c r="E8" s="18">
        <v>5351</v>
      </c>
      <c r="F8" s="19">
        <v>22.3</v>
      </c>
      <c r="H8" s="21" t="s">
        <v>1110</v>
      </c>
      <c r="I8" s="130" t="s">
        <v>1055</v>
      </c>
      <c r="J8" s="130"/>
      <c r="K8" s="130"/>
      <c r="L8" s="130"/>
      <c r="M8" s="130"/>
      <c r="N8" s="131"/>
      <c r="P8" s="16" t="s">
        <v>1053</v>
      </c>
      <c r="Q8" s="16"/>
      <c r="R8" s="16"/>
      <c r="S8" s="17" t="s">
        <v>1054</v>
      </c>
      <c r="T8" s="18">
        <v>5588</v>
      </c>
      <c r="U8" s="19">
        <v>23</v>
      </c>
      <c r="W8" s="21" t="s">
        <v>1110</v>
      </c>
      <c r="X8" s="130" t="s">
        <v>1055</v>
      </c>
      <c r="Y8" s="130"/>
      <c r="Z8" s="130"/>
      <c r="AA8" s="130"/>
      <c r="AB8" s="130"/>
      <c r="AC8" s="131"/>
    </row>
    <row r="9" spans="1:29" x14ac:dyDescent="0.3">
      <c r="A9" s="16" t="s">
        <v>1010</v>
      </c>
      <c r="B9" s="16"/>
      <c r="C9" s="16"/>
      <c r="D9" s="17" t="s">
        <v>485</v>
      </c>
      <c r="E9" s="22">
        <v>5062</v>
      </c>
      <c r="F9" s="23">
        <v>22.2</v>
      </c>
      <c r="H9" s="24" t="s">
        <v>1056</v>
      </c>
      <c r="I9" s="132" t="s">
        <v>1057</v>
      </c>
      <c r="J9" s="132"/>
      <c r="K9" s="132"/>
      <c r="L9" s="132"/>
      <c r="M9" s="132"/>
      <c r="N9" s="133"/>
      <c r="P9" s="16" t="s">
        <v>1010</v>
      </c>
      <c r="Q9" s="16"/>
      <c r="R9" s="16"/>
      <c r="S9" s="17" t="s">
        <v>485</v>
      </c>
      <c r="T9" s="22">
        <v>5284</v>
      </c>
      <c r="U9" s="23">
        <v>22.9</v>
      </c>
      <c r="W9" s="24" t="s">
        <v>1056</v>
      </c>
      <c r="X9" s="132" t="s">
        <v>1057</v>
      </c>
      <c r="Y9" s="132"/>
      <c r="Z9" s="132"/>
      <c r="AA9" s="132"/>
      <c r="AB9" s="132"/>
      <c r="AC9" s="133"/>
    </row>
    <row r="10" spans="1:29" x14ac:dyDescent="0.3">
      <c r="A10" s="16" t="s">
        <v>1058</v>
      </c>
      <c r="B10" s="16"/>
      <c r="C10" s="16"/>
      <c r="D10" s="17" t="s">
        <v>487</v>
      </c>
      <c r="E10" s="22">
        <v>249</v>
      </c>
      <c r="F10" s="23">
        <v>24.3</v>
      </c>
      <c r="H10" s="25" t="s">
        <v>1059</v>
      </c>
      <c r="I10" s="134" t="s">
        <v>1060</v>
      </c>
      <c r="J10" s="134"/>
      <c r="K10" s="134"/>
      <c r="L10" s="134"/>
      <c r="M10" s="134"/>
      <c r="N10" s="135"/>
      <c r="P10" s="16" t="s">
        <v>1058</v>
      </c>
      <c r="Q10" s="16"/>
      <c r="R10" s="16"/>
      <c r="S10" s="17" t="s">
        <v>487</v>
      </c>
      <c r="T10" s="22">
        <v>261</v>
      </c>
      <c r="U10" s="23">
        <v>25.3</v>
      </c>
      <c r="W10" s="25" t="s">
        <v>1059</v>
      </c>
      <c r="X10" s="134" t="s">
        <v>1060</v>
      </c>
      <c r="Y10" s="134"/>
      <c r="Z10" s="134"/>
      <c r="AA10" s="134"/>
      <c r="AB10" s="134"/>
      <c r="AC10" s="135"/>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4" t="s">
        <v>1062</v>
      </c>
      <c r="J11" s="134"/>
      <c r="K11" s="134"/>
      <c r="L11" s="134"/>
      <c r="M11" s="134"/>
      <c r="N11" s="135"/>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4" t="s">
        <v>1062</v>
      </c>
      <c r="Y11" s="134"/>
      <c r="Z11" s="134"/>
      <c r="AA11" s="134"/>
      <c r="AB11" s="134"/>
      <c r="AC11" s="135"/>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27"/>
      <c r="F438" s="127"/>
      <c r="G438" s="127"/>
      <c r="H438" s="127"/>
      <c r="I438" s="127"/>
      <c r="J438" s="127"/>
      <c r="K438" s="127"/>
      <c r="L438" s="127"/>
      <c r="M438" s="127"/>
      <c r="N438" s="127"/>
      <c r="P438" s="139" t="s">
        <v>1627</v>
      </c>
      <c r="Q438" s="139"/>
      <c r="R438" s="139"/>
      <c r="S438" s="139"/>
      <c r="T438" s="127"/>
      <c r="U438" s="127"/>
      <c r="V438" s="127"/>
      <c r="W438" s="127"/>
      <c r="X438" s="127"/>
      <c r="Y438" s="127"/>
      <c r="Z438" s="127"/>
      <c r="AA438" s="127"/>
      <c r="AB438" s="127"/>
      <c r="AC438" s="127"/>
    </row>
    <row r="439" spans="1:29" x14ac:dyDescent="0.3">
      <c r="A439" s="127" t="s">
        <v>1628</v>
      </c>
      <c r="B439" s="127"/>
      <c r="C439" s="127"/>
      <c r="D439" s="127"/>
      <c r="E439" s="127"/>
      <c r="F439" s="127"/>
      <c r="G439" s="127"/>
      <c r="H439" s="127"/>
      <c r="I439" s="127"/>
      <c r="J439" s="127"/>
      <c r="K439" s="127"/>
      <c r="L439" s="127"/>
      <c r="M439" s="127"/>
      <c r="N439" s="127"/>
      <c r="P439" s="127" t="s">
        <v>1628</v>
      </c>
      <c r="Q439" s="127"/>
      <c r="R439" s="127"/>
      <c r="S439" s="127"/>
      <c r="T439" s="127"/>
      <c r="U439" s="127"/>
      <c r="V439" s="127"/>
      <c r="W439" s="127"/>
      <c r="X439" s="127"/>
      <c r="Y439" s="127"/>
      <c r="Z439" s="127"/>
      <c r="AA439" s="127"/>
      <c r="AB439" s="127"/>
      <c r="AC439" s="127"/>
    </row>
    <row r="440" spans="1:29" x14ac:dyDescent="0.3">
      <c r="A440" s="127" t="s">
        <v>1629</v>
      </c>
      <c r="B440" s="127"/>
      <c r="C440" s="127"/>
      <c r="D440" s="127"/>
      <c r="E440" s="127"/>
      <c r="F440" s="127"/>
      <c r="G440" s="127"/>
      <c r="H440" s="127"/>
      <c r="I440" s="127"/>
      <c r="J440" s="127"/>
      <c r="K440" s="127"/>
      <c r="L440" s="127"/>
      <c r="M440" s="127"/>
      <c r="N440" s="127"/>
      <c r="P440" s="127" t="s">
        <v>1629</v>
      </c>
      <c r="Q440" s="127"/>
      <c r="R440" s="127"/>
      <c r="S440" s="127"/>
      <c r="T440" s="127"/>
      <c r="U440" s="127"/>
      <c r="V440" s="127"/>
      <c r="W440" s="127"/>
      <c r="X440" s="127"/>
      <c r="Y440" s="127"/>
      <c r="Z440" s="127"/>
      <c r="AA440" s="127"/>
      <c r="AB440" s="127"/>
      <c r="AC440" s="127"/>
    </row>
    <row r="441" spans="1:29" x14ac:dyDescent="0.3">
      <c r="A441" s="127" t="s">
        <v>1107</v>
      </c>
      <c r="B441" s="127"/>
      <c r="C441" s="127"/>
      <c r="D441" s="127"/>
      <c r="E441" s="127"/>
      <c r="F441" s="127"/>
      <c r="G441" s="127"/>
      <c r="H441" s="127"/>
      <c r="I441" s="127"/>
      <c r="J441" s="127"/>
      <c r="K441" s="127"/>
      <c r="L441" s="127"/>
      <c r="M441" s="127"/>
      <c r="N441" s="127"/>
      <c r="P441" s="127" t="s">
        <v>1107</v>
      </c>
      <c r="Q441" s="127"/>
      <c r="R441" s="127"/>
      <c r="S441" s="127"/>
      <c r="T441" s="127"/>
      <c r="U441" s="127"/>
      <c r="V441" s="127"/>
      <c r="W441" s="127"/>
      <c r="X441" s="127"/>
      <c r="Y441" s="127"/>
      <c r="Z441" s="127"/>
      <c r="AA441" s="127"/>
      <c r="AB441" s="127"/>
      <c r="AC441" s="127"/>
    </row>
    <row r="442" spans="1:29" x14ac:dyDescent="0.3">
      <c r="A442" s="136" t="s">
        <v>1108</v>
      </c>
      <c r="B442" s="136"/>
      <c r="C442" s="136"/>
      <c r="D442" s="136"/>
      <c r="E442" s="136"/>
      <c r="F442" s="136"/>
      <c r="G442" s="136"/>
      <c r="H442" s="136"/>
      <c r="I442" s="136"/>
      <c r="J442" s="136"/>
      <c r="K442" s="136"/>
      <c r="L442" s="136"/>
      <c r="M442" s="136"/>
      <c r="N442" s="136"/>
      <c r="P442" s="136" t="s">
        <v>1108</v>
      </c>
      <c r="Q442" s="136"/>
      <c r="R442" s="136"/>
      <c r="S442" s="136"/>
      <c r="T442" s="136"/>
      <c r="U442" s="136"/>
      <c r="V442" s="136"/>
      <c r="W442" s="136"/>
      <c r="X442" s="136"/>
      <c r="Y442" s="136"/>
      <c r="Z442" s="136"/>
      <c r="AA442" s="136"/>
      <c r="AB442" s="136"/>
      <c r="AC442" s="136"/>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 ref="A441:N441"/>
    <mergeCell ref="X7:AC7"/>
    <mergeCell ref="X8:AC8"/>
    <mergeCell ref="X9:AC9"/>
    <mergeCell ref="X10:AC10"/>
    <mergeCell ref="X11:A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2022-06-10T14:14:16Z</cp:lastPrinted>
  <dcterms:created xsi:type="dcterms:W3CDTF">2022-05-30T09:14:22Z</dcterms:created>
  <dcterms:modified xsi:type="dcterms:W3CDTF">2022-08-02T11:00:29Z</dcterms:modified>
</cp:coreProperties>
</file>