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1" documentId="8_{D93F96BA-CDDB-4386-9693-CFD29C591E21}" xr6:coauthVersionLast="47" xr6:coauthVersionMax="47" xr10:uidLastSave="{FB63C818-1478-4DCC-8406-492B77568042}"/>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<sst xmlns="http://schemas.openxmlformats.org/spreadsheetml/2006/main" count="32859" uniqueCount="1676">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</sst>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Devon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22.16</c:v>
                </c:pt>
                <c:pt idx="1">
                  <c:v>22.11</c:v>
                </c:pt>
                <c:pt idx="2">
                  <c:v>23.43</c:v>
                </c:pt>
                <c:pt idx="3">
                  <c:v>24.32</c:v>
                </c:pt>
                <c:pt idx="4">
                  <c:v>25.27</c:v>
                </c:pt>
                <c:pt idx="5">
                  <c:v>24.22</c:v>
                </c:pt>
                <c:pt idx="6">
                  <c:v>24.92</c:v>
                </c:pt>
                <c:pt idx="7">
                  <c:v>25.49</c:v>
                </c:pt>
                <c:pt idx="8">
                  <c:v>26.24</c:v>
                </c:pt>
                <c:pt idx="9">
                  <c:v>26.23</c:v>
                </c:pt>
                <c:pt idx="10">
                  <c:v>26.8</c:v>
                </c:pt>
                <c:pt idx="11">
                  <c:v>26.97</c:v>
                </c:pt>
                <c:pt idx="12">
                  <c:v>28.3</c:v>
                </c:pt>
                <c:pt idx="13">
                  <c:v>29.23</c:v>
                </c:pt>
                <c:pt idx="14">
                  <c:v>29.49</c:v>
                </c:pt>
                <c:pt idx="15">
                  <c:v>30.97</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Devon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397.6</c:v>
                </c:pt>
                <c:pt idx="1">
                  <c:v>416.5</c:v>
                </c:pt>
                <c:pt idx="2">
                  <c:v>421.6</c:v>
                </c:pt>
                <c:pt idx="3">
                  <c:v>421.6</c:v>
                </c:pt>
                <c:pt idx="4">
                  <c:v>430.4</c:v>
                </c:pt>
                <c:pt idx="5">
                  <c:v>440.9</c:v>
                </c:pt>
                <c:pt idx="6">
                  <c:v>450.9</c:v>
                </c:pt>
                <c:pt idx="7">
                  <c:v>460</c:v>
                </c:pt>
                <c:pt idx="8">
                  <c:v>476.7</c:v>
                </c:pt>
                <c:pt idx="9">
                  <c:v>483.6</c:v>
                </c:pt>
                <c:pt idx="10">
                  <c:v>498.1</c:v>
                </c:pt>
                <c:pt idx="11">
                  <c:v>515</c:v>
                </c:pt>
                <c:pt idx="12">
                  <c:v>509</c:v>
                </c:pt>
                <c:pt idx="13">
                  <c:v>548</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Devon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75.8</c:v>
                </c:pt>
                <c:pt idx="1">
                  <c:v>76.400000000000006</c:v>
                </c:pt>
                <c:pt idx="2">
                  <c:v>75.599999999999994</c:v>
                </c:pt>
                <c:pt idx="3">
                  <c:v>76.099999999999994</c:v>
                </c:pt>
                <c:pt idx="4">
                  <c:v>77.900000000000006</c:v>
                </c:pt>
                <c:pt idx="5">
                  <c:v>75.599999999999994</c:v>
                </c:pt>
                <c:pt idx="6">
                  <c:v>72.900000000000006</c:v>
                </c:pt>
                <c:pt idx="7">
                  <c:v>73.2</c:v>
                </c:pt>
                <c:pt idx="8">
                  <c:v>75.400000000000006</c:v>
                </c:pt>
                <c:pt idx="9">
                  <c:v>76</c:v>
                </c:pt>
                <c:pt idx="10">
                  <c:v>76.8</c:v>
                </c:pt>
                <c:pt idx="11">
                  <c:v>78.2</c:v>
                </c:pt>
                <c:pt idx="12">
                  <c:v>73.599999999999994</c:v>
                </c:pt>
                <c:pt idx="13">
                  <c:v>80.900000000000006</c:v>
                </c:pt>
                <c:pt idx="14">
                  <c:v>79.7</c:v>
                </c:pt>
                <c:pt idx="15">
                  <c:v>81.2</c:v>
                </c:pt>
                <c:pt idx="16">
                  <c:v>79.2</c:v>
                </c:pt>
                <c:pt idx="17">
                  <c:v>76.3</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Devon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13505</c:v>
                </c:pt>
                <c:pt idx="1">
                  <c:v>14128</c:v>
                </c:pt>
                <c:pt idx="2">
                  <c:v>14854</c:v>
                </c:pt>
                <c:pt idx="3">
                  <c:v>15414</c:v>
                </c:pt>
                <c:pt idx="4">
                  <c:v>16111</c:v>
                </c:pt>
                <c:pt idx="5">
                  <c:v>16509</c:v>
                </c:pt>
                <c:pt idx="6">
                  <c:v>16620</c:v>
                </c:pt>
                <c:pt idx="7">
                  <c:v>16786</c:v>
                </c:pt>
                <c:pt idx="8">
                  <c:v>17315</c:v>
                </c:pt>
                <c:pt idx="9">
                  <c:v>17853</c:v>
                </c:pt>
                <c:pt idx="10">
                  <c:v>18239</c:v>
                </c:pt>
                <c:pt idx="11">
                  <c:v>19108</c:v>
                </c:pt>
                <c:pt idx="12">
                  <c:v>19274</c:v>
                </c:pt>
                <c:pt idx="13">
                  <c:v>19552</c:v>
                </c:pt>
                <c:pt idx="14">
                  <c:v>20486</c:v>
                </c:pt>
                <c:pt idx="15">
                  <c:v>20924</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Devon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25.7</c:v>
                </c:pt>
                <c:pt idx="1">
                  <c:v>26.4</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Devon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21.6</c:v>
                </c:pt>
                <c:pt idx="1">
                  <c:v>21.4</c:v>
                </c:pt>
                <c:pt idx="2">
                  <c:v>22</c:v>
                </c:pt>
                <c:pt idx="3">
                  <c:v>20.9</c:v>
                </c:pt>
                <c:pt idx="4">
                  <c:v>19.600000000000001</c:v>
                </c:pt>
                <c:pt idx="5">
                  <c:v>19.7</c:v>
                </c:pt>
                <c:pt idx="6">
                  <c:v>22.6</c:v>
                </c:pt>
                <c:pt idx="7">
                  <c:v>22.1</c:v>
                </c:pt>
                <c:pt idx="8">
                  <c:v>21.3</c:v>
                </c:pt>
                <c:pt idx="9">
                  <c:v>20.2</c:v>
                </c:pt>
                <c:pt idx="10">
                  <c:v>19.7</c:v>
                </c:pt>
                <c:pt idx="11">
                  <c:v>19.2</c:v>
                </c:pt>
                <c:pt idx="12">
                  <c:v>22.6</c:v>
                </c:pt>
                <c:pt idx="13">
                  <c:v>17.399999999999999</c:v>
                </c:pt>
                <c:pt idx="14">
                  <c:v>17.600000000000001</c:v>
                </c:pt>
                <c:pt idx="15">
                  <c:v>16.2</c:v>
                </c:pt>
                <c:pt idx="16">
                  <c:v>17.3</c:v>
                </c:pt>
                <c:pt idx="17">
                  <c:v>22.1</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Devon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26.699999999999996</c:v>
                </c:pt>
                <c:pt idx="1">
                  <c:v>20.399999999999991</c:v>
                </c:pt>
                <c:pt idx="2">
                  <c:v>23.599999999999994</c:v>
                </c:pt>
                <c:pt idx="3">
                  <c:v>20.700000000000003</c:v>
                </c:pt>
                <c:pt idx="4">
                  <c:v>23.699999999999996</c:v>
                </c:pt>
                <c:pt idx="5">
                  <c:v>18.299999999999997</c:v>
                </c:pt>
                <c:pt idx="6">
                  <c:v>18.799999999999997</c:v>
                </c:pt>
                <c:pt idx="7">
                  <c:v>25.1</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Devon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8.9243269812276047</c:v>
                </c:pt>
                <c:pt idx="1">
                  <c:v>7.6371637733833655</c:v>
                </c:pt>
                <c:pt idx="2">
                  <c:v>7.3556016981978001</c:v>
                </c:pt>
                <c:pt idx="3">
                  <c:v>6.2209772891183226</c:v>
                </c:pt>
                <c:pt idx="4">
                  <c:v>7.3511643436546352</c:v>
                </c:pt>
                <c:pt idx="5">
                  <c:v>6.7290590935169243</c:v>
                </c:pt>
                <c:pt idx="6">
                  <c:v>8.6291247590883202</c:v>
                </c:pt>
                <c:pt idx="7">
                  <c:v>7.7056160779883562</c:v>
                </c:pt>
                <c:pt idx="8">
                  <c:v>5.7484949733225186</c:v>
                </c:pt>
                <c:pt idx="9">
                  <c:v>8.0902429751494829</c:v>
                </c:pt>
                <c:pt idx="10">
                  <c:v>6.0236962432031635</c:v>
                </c:pt>
                <c:pt idx="11">
                  <c:v>5.3321436749390037</c:v>
                </c:pt>
                <c:pt idx="12">
                  <c:v>8.208171449135925</c:v>
                </c:pt>
                <c:pt idx="13">
                  <c:v>6.2966206029323661</c:v>
                </c:pt>
                <c:pt idx="14">
                  <c:v>1.2481435595946226</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Devon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50.699999999999996</c:v>
                </c:pt>
                <c:pt idx="1">
                  <c:v>51.1</c:v>
                </c:pt>
                <c:pt idx="2">
                  <c:v>53.900000000000006</c:v>
                </c:pt>
                <c:pt idx="3">
                  <c:v>54.199999999999996</c:v>
                </c:pt>
                <c:pt idx="4">
                  <c:v>53.1</c:v>
                </c:pt>
                <c:pt idx="5">
                  <c:v>52.6</c:v>
                </c:pt>
                <c:pt idx="6">
                  <c:v>55.699999999999996</c:v>
                </c:pt>
                <c:pt idx="7">
                  <c:v>54.7</c:v>
                </c:pt>
                <c:pt idx="8">
                  <c:v>54.8</c:v>
                </c:pt>
                <c:pt idx="9">
                  <c:v>54</c:v>
                </c:pt>
                <c:pt idx="10">
                  <c:v>56.9</c:v>
                </c:pt>
                <c:pt idx="11">
                  <c:v>62</c:v>
                </c:pt>
                <c:pt idx="12">
                  <c:v>56.1</c:v>
                </c:pt>
                <c:pt idx="13">
                  <c:v>57.5</c:v>
                </c:pt>
                <c:pt idx="14">
                  <c:v>58.7</c:v>
                </c:pt>
                <c:pt idx="15">
                  <c:v>56.5</c:v>
                </c:pt>
                <c:pt idx="16">
                  <c:v>56.5</c:v>
                </c:pt>
                <c:pt idx="17">
                  <c:v>57.800000000000004</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Devon has generally been in line with or above the rural situation from 2004 to 2021.</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Despite the GDHI increasing over the years within Devon, it is consistently below the rural and England situations.</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The proportion for Devon was marginally higher in both 2017 and 2018 than the rural position.</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Devon's economic inactivity rate has in general been in line with 'Rural as a Region'</a:t>
          </a:r>
          <a:r>
            <a:rPr lang="en-GB" sz="1100">
              <a:latin typeface="Avenir Next LT Pro" panose="020B0504020202020204" pitchFamily="34" charset="0"/>
            </a:rPr>
            <a:t>.</a:t>
          </a: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Devon is consistently lower than the rural and England situations.</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Devon has been from 2006 to 2020 consistently below the rural and England positions.</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Devon in general has a proportion of employed people in skilled employment that is consistent with that seen for 'Rural as a Region' or England.</a:t>
          </a:r>
          <a:endParaRPr lang="en-GB" sz="1100">
            <a:latin typeface="Avenir Next LT Pro" panose="020B0504020202020204" pitchFamily="34" charset="0"/>
          </a:endParaRPr>
        </a:p>
      </xdr:txBody>
    </xdr:sp>
    <xdr:clientData/>
  </xdr:twoCellAnchor>
  <xdr:twoCellAnchor>
    <xdr:from>
      <xdr:col>0</xdr:col>
      <xdr:colOff>617220</xdr:colOff>
      <xdr:row>12</xdr:row>
      <xdr:rowOff>495300</xdr:rowOff>
    </xdr:from>
    <xdr:to>
      <xdr:col>1</xdr:col>
      <xdr:colOff>2598420</xdr:colOff>
      <xdr:row>14</xdr:row>
      <xdr:rowOff>0</xdr:rowOff>
    </xdr:to>
    <xdr:sp macro="" textlink="">
      <xdr:nvSpPr>
        <xdr:cNvPr id="20" name="TextBox 19">
          <a:extLst>
            <a:ext uri="{FF2B5EF4-FFF2-40B4-BE49-F238E27FC236}">
              <a16:creationId xmlns:a16="http://schemas.microsoft.com/office/drawing/2014/main" id="{38A4CEFE-97AA-4EFF-AEF1-79EB0B6EC1A4}"/>
            </a:ext>
          </a:extLst>
        </xdr:cNvPr>
        <xdr:cNvSpPr txBox="1"/>
      </xdr:nvSpPr>
      <xdr:spPr>
        <a:xfrm>
          <a:off x="617220" y="348234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Devon in 2004 was below the rural situation, however the gap was closed over the following years and the Devon position surpassed that of 'Rural as a Region' in 2019.</a:t>
          </a:r>
          <a:endParaRPr lang="en-GB" sz="1100">
            <a:latin typeface="Avenir Next LT Pro" panose="020B0504020202020204" pitchFamily="34" charset="0"/>
          </a:endParaRPr>
        </a:p>
      </xdr:txBody>
    </xdr:sp>
    <xdr:clientData/>
  </xdr:twoCellAnchor>
  <xdr:twoCellAnchor>
    <xdr:from>
      <xdr:col>0</xdr:col>
      <xdr:colOff>609600</xdr:colOff>
      <xdr:row>20</xdr:row>
      <xdr:rowOff>609600</xdr:rowOff>
    </xdr:from>
    <xdr:to>
      <xdr:col>1</xdr:col>
      <xdr:colOff>2590800</xdr:colOff>
      <xdr:row>22</xdr:row>
      <xdr:rowOff>137160</xdr:rowOff>
    </xdr:to>
    <xdr:sp macro="" textlink="">
      <xdr:nvSpPr>
        <xdr:cNvPr id="21" name="TextBox 20">
          <a:extLst>
            <a:ext uri="{FF2B5EF4-FFF2-40B4-BE49-F238E27FC236}">
              <a16:creationId xmlns:a16="http://schemas.microsoft.com/office/drawing/2014/main" id="{311C8D5C-0313-40EC-83C7-061848EAAD74}"/>
            </a:ext>
          </a:extLst>
        </xdr:cNvPr>
        <xdr:cNvSpPr txBox="1"/>
      </xdr:nvSpPr>
      <xdr:spPr>
        <a:xfrm>
          <a:off x="609600" y="753618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Devon in 2008 was below that of 'Rural as a Region', however a greater rate of increase closed the gap over the following years.</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05" t="s">
        <v>1666</v>
      </c>
      <c r="B1" s="105"/>
      <c r="C1" s="105"/>
    </row>
    <row r="2" spans="1:24" ht="21" customHeight="1" x14ac:dyDescent="0.3">
      <c r="A2" s="105"/>
      <c r="B2" s="105"/>
      <c r="C2" s="105"/>
    </row>
    <row r="3" spans="1:24" ht="15" thickBot="1" x14ac:dyDescent="0.35"/>
    <row r="4" spans="1:24" ht="16.2" thickBot="1" x14ac:dyDescent="0.35">
      <c r="A4" s="65" t="s">
        <v>1635</v>
      </c>
      <c r="B4" s="57" t="s">
        <v>212</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06" t="s">
        <v>1668</v>
      </c>
      <c r="G11" s="106"/>
      <c r="H11" s="107"/>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Devon</v>
      </c>
      <c r="G12" s="88" t="str">
        <f>IFERROR(VLOOKUP(F12,GVA!B244:B552,1,FALSE),VLOOKUP(F12,GVA!B6:C230,2,FALSE))</f>
        <v/>
      </c>
      <c r="H12" s="89" t="str">
        <f>IF(F12=G12,"",G12)</f>
        <v/>
      </c>
      <c r="I12" s="76">
        <f>IFERROR(VLOOKUP($F12,GVA!$B$7:$S$230,GVA!D$3,FALSE),VLOOKUP($F12,GVA!$B$244:$T$554,GVA!E$3,FALSE))</f>
        <v>22.16</v>
      </c>
      <c r="J12" s="77">
        <f>IFERROR(VLOOKUP($F12,GVA!$B$7:$S$230,GVA!E$3,FALSE),VLOOKUP($F12,GVA!$B$244:$T$554,GVA!F$3,FALSE))</f>
        <v>22.11</v>
      </c>
      <c r="K12" s="77">
        <f>IFERROR(VLOOKUP($F12,GVA!$B$7:$S$230,GVA!F$3,FALSE),VLOOKUP($F12,GVA!$B$244:$T$554,GVA!G$3,FALSE))</f>
        <v>23.43</v>
      </c>
      <c r="L12" s="77">
        <f>IFERROR(VLOOKUP($F12,GVA!$B$7:$S$230,GVA!G$3,FALSE),VLOOKUP($F12,GVA!$B$244:$T$554,GVA!H$3,FALSE))</f>
        <v>24.32</v>
      </c>
      <c r="M12" s="77">
        <f>IFERROR(VLOOKUP($F12,GVA!$B$7:$S$230,GVA!H$3,FALSE),VLOOKUP($F12,GVA!$B$244:$T$554,GVA!I$3,FALSE))</f>
        <v>25.27</v>
      </c>
      <c r="N12" s="77">
        <f>IFERROR(VLOOKUP($F12,GVA!$B$7:$S$230,GVA!I$3,FALSE),VLOOKUP($F12,GVA!$B$244:$T$554,GVA!J$3,FALSE))</f>
        <v>24.22</v>
      </c>
      <c r="O12" s="77">
        <f>IFERROR(VLOOKUP($F12,GVA!$B$7:$S$230,GVA!J$3,FALSE),VLOOKUP($F12,GVA!$B$244:$T$554,GVA!K$3,FALSE))</f>
        <v>24.92</v>
      </c>
      <c r="P12" s="77">
        <f>IFERROR(VLOOKUP($F12,GVA!$B$7:$S$230,GVA!K$3,FALSE),VLOOKUP($F12,GVA!$B$244:$T$554,GVA!L$3,FALSE))</f>
        <v>25.49</v>
      </c>
      <c r="Q12" s="77">
        <f>IFERROR(VLOOKUP($F12,GVA!$B$7:$S$230,GVA!L$3,FALSE),VLOOKUP($F12,GVA!$B$244:$T$554,GVA!M$3,FALSE))</f>
        <v>26.24</v>
      </c>
      <c r="R12" s="77">
        <f>IFERROR(VLOOKUP($F12,GVA!$B$7:$S$230,GVA!M$3,FALSE),VLOOKUP($F12,GVA!$B$244:$T$554,GVA!N$3,FALSE))</f>
        <v>26.23</v>
      </c>
      <c r="S12" s="77">
        <f>IFERROR(VLOOKUP($F12,GVA!$B$7:$S$230,GVA!N$3,FALSE),VLOOKUP($F12,GVA!$B$244:$T$554,GVA!O$3,FALSE))</f>
        <v>26.8</v>
      </c>
      <c r="T12" s="77">
        <f>IFERROR(VLOOKUP($F12,GVA!$B$7:$S$230,GVA!O$3,FALSE),VLOOKUP($F12,GVA!$B$244:$T$554,GVA!P$3,FALSE))</f>
        <v>26.97</v>
      </c>
      <c r="U12" s="77">
        <f>IFERROR(VLOOKUP($F12,GVA!$B$7:$S$230,GVA!P$3,FALSE),VLOOKUP($F12,GVA!$B$244:$T$554,GVA!Q$3,FALSE))</f>
        <v>28.3</v>
      </c>
      <c r="V12" s="77">
        <f>IFERROR(VLOOKUP($F12,GVA!$B$7:$S$230,GVA!Q$3,FALSE),VLOOKUP($F12,GVA!$B$244:$T$554,GVA!R$3,FALSE))</f>
        <v>29.23</v>
      </c>
      <c r="W12" s="77">
        <f>IFERROR(VLOOKUP($F12,GVA!$B$7:$S$230,GVA!R$3,FALSE),VLOOKUP($F12,GVA!$B$244:$T$554,GVA!S$3,FALSE))</f>
        <v>29.49</v>
      </c>
      <c r="X12" s="77">
        <f>IFERROR(VLOOKUP($F12,GVA!$B$7:$S$230,GVA!S$3,FALSE),VLOOKUP($F12,GVA!$B$244:$T$554,GVA!T$3,FALSE))</f>
        <v>30.97</v>
      </c>
    </row>
    <row r="13" spans="1:24" ht="51" customHeight="1" x14ac:dyDescent="0.3">
      <c r="B13" s="56"/>
      <c r="C13" s="56"/>
      <c r="D13" s="56"/>
      <c r="F13" s="116" t="s">
        <v>1648</v>
      </c>
      <c r="G13" s="117"/>
      <c r="H13" s="118"/>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1" t="s">
        <v>1010</v>
      </c>
      <c r="G14" s="112"/>
      <c r="H14" s="113"/>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21" t="str">
        <f>"% Gap - "&amp;F12&amp;" to Rural as a Region"</f>
        <v>% Gap - Devon to Rural as a Region</v>
      </c>
      <c r="G15" s="122"/>
      <c r="H15" s="123"/>
      <c r="I15" s="74">
        <f>100*((I12-I13)/I13)</f>
        <v>-5.8628380121069457</v>
      </c>
      <c r="J15" s="74">
        <f t="shared" ref="J15:X15" si="0">100*((J12-J13)/J13)</f>
        <v>-5.8137412012901439</v>
      </c>
      <c r="K15" s="74">
        <f t="shared" si="0"/>
        <v>-3.5958325373617406</v>
      </c>
      <c r="L15" s="74">
        <f t="shared" si="0"/>
        <v>-2.0877667222637819</v>
      </c>
      <c r="M15" s="74">
        <f t="shared" si="0"/>
        <v>2.1204110770289532E-2</v>
      </c>
      <c r="N15" s="74">
        <f t="shared" si="0"/>
        <v>-4.9179561716307427</v>
      </c>
      <c r="O15" s="74">
        <f t="shared" si="0"/>
        <v>-3.3738465728384002</v>
      </c>
      <c r="P15" s="74">
        <f t="shared" si="0"/>
        <v>-2.6156722018310976</v>
      </c>
      <c r="Q15" s="74">
        <f t="shared" si="0"/>
        <v>-1.7622676828453181</v>
      </c>
      <c r="R15" s="74">
        <f t="shared" si="0"/>
        <v>-3.4736551579113768</v>
      </c>
      <c r="S15" s="74">
        <f t="shared" si="0"/>
        <v>-2.9851711075773748</v>
      </c>
      <c r="T15" s="74">
        <f t="shared" si="0"/>
        <v>-4.1853462130567811</v>
      </c>
      <c r="U15" s="74">
        <f t="shared" si="0"/>
        <v>-1.8622719635389111</v>
      </c>
      <c r="V15" s="74">
        <f t="shared" si="0"/>
        <v>-1.3194542129694629</v>
      </c>
      <c r="W15" s="74">
        <f t="shared" si="0"/>
        <v>-2.4621115175473567</v>
      </c>
      <c r="X15" s="74">
        <f t="shared" si="0"/>
        <v>1.3704501794404991</v>
      </c>
    </row>
    <row r="16" spans="1:24" ht="51" customHeight="1" x14ac:dyDescent="0.3">
      <c r="B16" s="56"/>
      <c r="C16" s="56"/>
      <c r="D16" s="56"/>
      <c r="F16" s="124" t="s">
        <v>1667</v>
      </c>
      <c r="G16" s="125"/>
      <c r="H16" s="126"/>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06" t="s">
        <v>0</v>
      </c>
      <c r="G19" s="106"/>
      <c r="H19" s="107"/>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Devon</v>
      </c>
      <c r="G20" s="88"/>
      <c r="H20" s="89"/>
      <c r="I20" s="80">
        <f>IF(VLOOKUP($F20,PAY!$A$11:$AE$349,4,FALSE)="-",#N/A,VLOOKUP($F20,PAY!$A$11:$AE$349,4,FALSE))</f>
        <v>397.6</v>
      </c>
      <c r="J20" s="80">
        <f>IF(VLOOKUP($F20,PAY!$A$11:$AE$349,6,FALSE)="-",#N/A,VLOOKUP($F20,PAY!$A$11:$AE$349,6,FALSE))</f>
        <v>416.5</v>
      </c>
      <c r="K20" s="80">
        <f>IF(VLOOKUP($F20,PAY!$A$11:$AE$349,8,FALSE)="-",#N/A,VLOOKUP($F20,PAY!$A$11:$AE$349,8,FALSE))</f>
        <v>421.6</v>
      </c>
      <c r="L20" s="80">
        <f>IF(VLOOKUP($F20,PAY!$A$11:$AE$349,10,FALSE)="-",#N/A,VLOOKUP($F20,PAY!$A$11:$AE$349,10,FALSE))</f>
        <v>421.6</v>
      </c>
      <c r="M20" s="80">
        <f>IF(VLOOKUP($F20,PAY!$A$11:$AE$349,12,FALSE)="-",#N/A,VLOOKUP($F20,PAY!$A$11:$AE$349,12,FALSE))</f>
        <v>430.4</v>
      </c>
      <c r="N20" s="80">
        <f>IF(VLOOKUP($F20,PAY!$A$11:$AE$349,14,FALSE)="-",#N/A,VLOOKUP($F20,PAY!$A$11:$AE$349,14,FALSE))</f>
        <v>440.9</v>
      </c>
      <c r="O20" s="80">
        <f>IF(VLOOKUP($F20,PAY!$A$11:$AE$349,16,FALSE)="-",#N/A,VLOOKUP($F20,PAY!$A$11:$AE$349,16,FALSE))</f>
        <v>450.9</v>
      </c>
      <c r="P20" s="80">
        <f>IF(VLOOKUP($F20,PAY!$A$11:$AE$349,18,FALSE)="-",#N/A,VLOOKUP($F20,PAY!$A$11:$AE$349,18,FALSE))</f>
        <v>460</v>
      </c>
      <c r="Q20" s="80">
        <f>IF(VLOOKUP($F20,PAY!$A$11:$AE$349,20,FALSE)="-",#N/A,VLOOKUP($F20,PAY!$A$11:$AE$349,20,FALSE))</f>
        <v>476.7</v>
      </c>
      <c r="R20" s="80">
        <f>IF(VLOOKUP($F20,PAY!$A$11:$AE$349,22,FALSE)="-",#N/A,VLOOKUP($F20,PAY!$A$11:$AE$349,22,FALSE))</f>
        <v>483.6</v>
      </c>
      <c r="S20" s="80">
        <f>IF(VLOOKUP($F20,PAY!$A$11:$AE$349,24,FALSE)="-",#N/A,VLOOKUP($F20,PAY!$A$11:$AE$349,24,FALSE))</f>
        <v>498.1</v>
      </c>
      <c r="T20" s="80">
        <f>IF(VLOOKUP($F20,PAY!$A$11:$AE$349,26,FALSE)="-",#N/A,VLOOKUP($F20,PAY!$A$11:$AE$349,26,FALSE))</f>
        <v>515</v>
      </c>
      <c r="U20" s="80">
        <f>IF(VLOOKUP($F20,PAY!$A$11:$AE$349,28,FALSE)="-",#N/A,VLOOKUP($F20,PAY!$A$11:$AE$349,28,FALSE))</f>
        <v>509</v>
      </c>
      <c r="V20" s="80">
        <f>IF(VLOOKUP($F20,PAY!$A$11:$AE$349,30,FALSE)="-",#N/A,VLOOKUP($F20,PAY!$A$11:$AE$349,30,FALSE))</f>
        <v>548</v>
      </c>
    </row>
    <row r="21" spans="1:26" ht="51" customHeight="1" x14ac:dyDescent="0.3">
      <c r="B21" s="56"/>
      <c r="C21" s="56"/>
      <c r="D21" s="56"/>
      <c r="F21" s="116" t="s">
        <v>1648</v>
      </c>
      <c r="G21" s="117"/>
      <c r="H21" s="118"/>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1" t="s">
        <v>1010</v>
      </c>
      <c r="G22" s="112"/>
      <c r="H22" s="113"/>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21" t="str">
        <f>"% Gap - "&amp;F20&amp;" to Rural as a Region"</f>
        <v>% Gap - Devon to Rural as a Region</v>
      </c>
      <c r="G23" s="122"/>
      <c r="H23" s="123"/>
      <c r="I23" s="74">
        <f>100*((I20-I21)/I21)</f>
        <v>-8.1739089760980335</v>
      </c>
      <c r="J23" s="74">
        <f t="shared" ref="J23:V23" si="2">100*((J20-J21)/J21)</f>
        <v>-4.6747153401613577</v>
      </c>
      <c r="K23" s="74">
        <f t="shared" si="2"/>
        <v>-5.9165162467621064</v>
      </c>
      <c r="L23" s="74">
        <f t="shared" si="2"/>
        <v>-6.446901262864567</v>
      </c>
      <c r="M23" s="74">
        <f t="shared" si="2"/>
        <v>-5.4570934429238136</v>
      </c>
      <c r="N23" s="74">
        <f t="shared" si="2"/>
        <v>-4.8086120479030177</v>
      </c>
      <c r="O23" s="74">
        <f t="shared" si="2"/>
        <v>-4.227362919227609</v>
      </c>
      <c r="P23" s="74">
        <f t="shared" si="2"/>
        <v>-3.1214926861259031</v>
      </c>
      <c r="Q23" s="74">
        <f t="shared" si="2"/>
        <v>-2.6113873868282558</v>
      </c>
      <c r="R23" s="74">
        <f t="shared" si="2"/>
        <v>-4.0584623497946684</v>
      </c>
      <c r="S23" s="74">
        <f t="shared" si="2"/>
        <v>-3.1735608504867958</v>
      </c>
      <c r="T23" s="74">
        <f t="shared" si="2"/>
        <v>-3.5036258635265471</v>
      </c>
      <c r="U23" s="74">
        <f t="shared" si="2"/>
        <v>-4.1518252149646839</v>
      </c>
      <c r="V23" s="74">
        <f t="shared" si="2"/>
        <v>-2.8806549214124515</v>
      </c>
    </row>
    <row r="24" spans="1:26" ht="51" customHeight="1" x14ac:dyDescent="0.3">
      <c r="B24" s="56"/>
      <c r="C24" s="56"/>
      <c r="D24" s="56"/>
      <c r="F24" s="101" t="s">
        <v>1667</v>
      </c>
      <c r="G24" s="102"/>
      <c r="H24" s="103"/>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9" t="s">
        <v>1669</v>
      </c>
      <c r="G27" s="119"/>
      <c r="H27" s="120"/>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Devon</v>
      </c>
      <c r="G28" s="88"/>
      <c r="H28" s="89"/>
      <c r="I28" s="76">
        <f>VLOOKUP($F28,EMPLOYMENT!$A$6:$BW$345,6,FALSE)</f>
        <v>75.8</v>
      </c>
      <c r="J28" s="77">
        <f>VLOOKUP($F28,EMPLOYMENT!$A$6:$BW$345,10,FALSE)</f>
        <v>76.400000000000006</v>
      </c>
      <c r="K28" s="77">
        <f>VLOOKUP($F28,EMPLOYMENT!$A$6:$BW$345,14,FALSE)</f>
        <v>75.599999999999994</v>
      </c>
      <c r="L28" s="77">
        <f>VLOOKUP($F28,EMPLOYMENT!$A$6:$BW$345,18,FALSE)</f>
        <v>76.099999999999994</v>
      </c>
      <c r="M28" s="77">
        <f>VLOOKUP($F28,EMPLOYMENT!$A$6:$BW$345,22,FALSE)</f>
        <v>77.900000000000006</v>
      </c>
      <c r="N28" s="77">
        <f>VLOOKUP($F28,EMPLOYMENT!$A$6:$BW$345,26,FALSE)</f>
        <v>75.599999999999994</v>
      </c>
      <c r="O28" s="77">
        <f>VLOOKUP($F28,EMPLOYMENT!$A$6:$BW$345,30,FALSE)</f>
        <v>72.900000000000006</v>
      </c>
      <c r="P28" s="77">
        <f>VLOOKUP($F28,EMPLOYMENT!$A$6:$BW$345,34,FALSE)</f>
        <v>73.2</v>
      </c>
      <c r="Q28" s="77">
        <f>VLOOKUP($F28,EMPLOYMENT!$A$6:$BW$345,38,FALSE)</f>
        <v>75.400000000000006</v>
      </c>
      <c r="R28" s="77">
        <f>VLOOKUP($F28,EMPLOYMENT!$A$6:$BW$345,42,FALSE)</f>
        <v>76</v>
      </c>
      <c r="S28" s="77">
        <f>VLOOKUP($F28,EMPLOYMENT!$A$6:$BW$345,46,FALSE)</f>
        <v>76.8</v>
      </c>
      <c r="T28" s="77">
        <f>VLOOKUP($F28,EMPLOYMENT!$A$6:$BW$345,50,FALSE)</f>
        <v>78.2</v>
      </c>
      <c r="U28" s="77">
        <f>VLOOKUP($F28,EMPLOYMENT!$A$6:$BW$345,54,FALSE)</f>
        <v>73.599999999999994</v>
      </c>
      <c r="V28" s="77">
        <f>VLOOKUP($F28,EMPLOYMENT!$A$6:$BW$345,58,FALSE)</f>
        <v>80.900000000000006</v>
      </c>
      <c r="W28" s="77">
        <f>VLOOKUP($F28,EMPLOYMENT!$A$6:$BW$345,62,FALSE)</f>
        <v>79.7</v>
      </c>
      <c r="X28" s="77">
        <f>VLOOKUP($F28,EMPLOYMENT!$A$6:$BW$345,66,FALSE)</f>
        <v>81.2</v>
      </c>
      <c r="Y28" s="77">
        <f>VLOOKUP($F28,EMPLOYMENT!$A$6:$BW$345,70,FALSE)</f>
        <v>79.2</v>
      </c>
      <c r="Z28" s="77">
        <f>VLOOKUP($F28,EMPLOYMENT!$A$6:$BW$345,74,FALSE)</f>
        <v>76.3</v>
      </c>
    </row>
    <row r="29" spans="1:26" ht="51" customHeight="1" x14ac:dyDescent="0.3">
      <c r="B29" s="56"/>
      <c r="C29" s="56"/>
      <c r="D29" s="56"/>
      <c r="F29" s="116" t="s">
        <v>1648</v>
      </c>
      <c r="G29" s="117"/>
      <c r="H29" s="118"/>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1" t="s">
        <v>1010</v>
      </c>
      <c r="G30" s="112"/>
      <c r="H30" s="113"/>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21" t="str">
        <f>"% Gap - "&amp;F28&amp;" to Rural as a Region"</f>
        <v>% Gap - Devon to Rural as a Region</v>
      </c>
      <c r="G31" s="122"/>
      <c r="H31" s="123"/>
      <c r="I31" s="74">
        <f>(I28-I29)</f>
        <v>-0.31134191940174105</v>
      </c>
      <c r="J31" s="74">
        <f t="shared" ref="J31:Z31" si="4">(J28-J29)</f>
        <v>8.7024533317048736E-2</v>
      </c>
      <c r="K31" s="74">
        <f t="shared" si="4"/>
        <v>-0.27318889948676883</v>
      </c>
      <c r="L31" s="74">
        <f t="shared" si="4"/>
        <v>0.4595316973721566</v>
      </c>
      <c r="M31" s="74">
        <f t="shared" si="4"/>
        <v>2.1644756266682634</v>
      </c>
      <c r="N31" s="74">
        <f t="shared" si="4"/>
        <v>1.0904601571268131</v>
      </c>
      <c r="O31" s="74">
        <f t="shared" si="4"/>
        <v>-0.64713313896986335</v>
      </c>
      <c r="P31" s="74">
        <f t="shared" si="4"/>
        <v>-0.5342954032776106</v>
      </c>
      <c r="Q31" s="74">
        <f t="shared" si="4"/>
        <v>1.3668425245374323</v>
      </c>
      <c r="R31" s="74">
        <f t="shared" si="4"/>
        <v>1.2555250700997931</v>
      </c>
      <c r="S31" s="74">
        <f t="shared" si="4"/>
        <v>0.69113965992438864</v>
      </c>
      <c r="T31" s="74">
        <f t="shared" si="4"/>
        <v>1.0094680243909835</v>
      </c>
      <c r="U31" s="74">
        <f t="shared" si="4"/>
        <v>-3.3716324817080476</v>
      </c>
      <c r="V31" s="74">
        <f t="shared" si="4"/>
        <v>2.867213114754108</v>
      </c>
      <c r="W31" s="74">
        <f t="shared" si="4"/>
        <v>1.6518431065858579</v>
      </c>
      <c r="X31" s="74">
        <f t="shared" si="4"/>
        <v>2.6087006210432975</v>
      </c>
      <c r="Y31" s="74">
        <f t="shared" si="4"/>
        <v>2.1856537038707984</v>
      </c>
      <c r="Z31" s="74">
        <f t="shared" si="4"/>
        <v>0.14424192212095477</v>
      </c>
    </row>
    <row r="32" spans="1:26" ht="51" customHeight="1" x14ac:dyDescent="0.3">
      <c r="B32" s="56"/>
      <c r="C32" s="56"/>
      <c r="D32" s="56"/>
      <c r="F32" s="101" t="s">
        <v>1667</v>
      </c>
      <c r="G32" s="102"/>
      <c r="H32" s="103"/>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04" t="s">
        <v>2</v>
      </c>
      <c r="B35" s="66" t="s">
        <v>1462</v>
      </c>
      <c r="C35" s="55"/>
      <c r="D35" s="55"/>
      <c r="F35" s="114" t="s">
        <v>1670</v>
      </c>
      <c r="G35" s="114"/>
      <c r="H35" s="115"/>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04"/>
      <c r="B36" s="67" t="s">
        <v>1633</v>
      </c>
      <c r="C36" s="56"/>
      <c r="D36" s="56"/>
      <c r="F36" s="87" t="str">
        <f>B4</f>
        <v>Devon</v>
      </c>
      <c r="G36" s="88" t="str">
        <f>IFERROR(VLOOKUP(F36,GDHI!B338:C574,2,FALSE),VLOOKUP(F36,GDHI!C3:C336,1,FALSE))</f>
        <v/>
      </c>
      <c r="H36" s="89" t="str">
        <f>IF(F36=G36,"",G36)</f>
        <v/>
      </c>
      <c r="I36" s="83">
        <f>IFERROR(VLOOKUP($F36,GDHI!$B$338:$U$574,GDHI!G$578,FALSE),VLOOKUP($F36,GDHI!$C$3:$U$336,GDHI!F$578,FALSE))</f>
        <v>13505</v>
      </c>
      <c r="J36" s="84">
        <f>IFERROR(VLOOKUP($F36,GDHI!$B$338:$U$574,GDHI!H$578,FALSE),VLOOKUP($F36,GDHI!$C$3:$U$336,GDHI!G$578,FALSE))</f>
        <v>14128</v>
      </c>
      <c r="K36" s="84">
        <f>IFERROR(VLOOKUP($F36,GDHI!$B$338:$U$574,GDHI!I$578,FALSE),VLOOKUP($F36,GDHI!$C$3:$U$336,GDHI!H$578,FALSE))</f>
        <v>14854</v>
      </c>
      <c r="L36" s="84">
        <f>IFERROR(VLOOKUP($F36,GDHI!$B$338:$U$574,GDHI!J$578,FALSE),VLOOKUP($F36,GDHI!$C$3:$U$336,GDHI!I$578,FALSE))</f>
        <v>15414</v>
      </c>
      <c r="M36" s="84">
        <f>IFERROR(VLOOKUP($F36,GDHI!$B$338:$U$574,GDHI!K$578,FALSE),VLOOKUP($F36,GDHI!$C$3:$U$336,GDHI!J$578,FALSE))</f>
        <v>16111</v>
      </c>
      <c r="N36" s="84">
        <f>IFERROR(VLOOKUP($F36,GDHI!$B$338:$U$574,GDHI!L$578,FALSE),VLOOKUP($F36,GDHI!$C$3:$U$336,GDHI!K$578,FALSE))</f>
        <v>16509</v>
      </c>
      <c r="O36" s="84">
        <f>IFERROR(VLOOKUP($F36,GDHI!$B$338:$U$574,GDHI!M$578,FALSE),VLOOKUP($F36,GDHI!$C$3:$U$336,GDHI!L$578,FALSE))</f>
        <v>16620</v>
      </c>
      <c r="P36" s="84">
        <f>IFERROR(VLOOKUP($F36,GDHI!$B$338:$U$574,GDHI!N$578,FALSE),VLOOKUP($F36,GDHI!$C$3:$U$336,GDHI!M$578,FALSE))</f>
        <v>16786</v>
      </c>
      <c r="Q36" s="84">
        <f>IFERROR(VLOOKUP($F36,GDHI!$B$338:$U$574,GDHI!O$578,FALSE),VLOOKUP($F36,GDHI!$C$3:$U$336,GDHI!N$578,FALSE))</f>
        <v>17315</v>
      </c>
      <c r="R36" s="84">
        <f>IFERROR(VLOOKUP($F36,GDHI!$B$338:$U$574,GDHI!P$578,FALSE),VLOOKUP($F36,GDHI!$C$3:$U$336,GDHI!O$578,FALSE))</f>
        <v>17853</v>
      </c>
      <c r="S36" s="84">
        <f>IFERROR(VLOOKUP($F36,GDHI!$B$338:$U$574,GDHI!Q$578,FALSE),VLOOKUP($F36,GDHI!$C$3:$U$336,GDHI!P$578,FALSE))</f>
        <v>18239</v>
      </c>
      <c r="T36" s="84">
        <f>IFERROR(VLOOKUP($F36,GDHI!$B$338:$U$574,GDHI!R$578,FALSE),VLOOKUP($F36,GDHI!$C$3:$U$336,GDHI!Q$578,FALSE))</f>
        <v>19108</v>
      </c>
      <c r="U36" s="84">
        <f>IFERROR(VLOOKUP($F36,GDHI!$B$338:$U$574,GDHI!S$578,FALSE),VLOOKUP($F36,GDHI!$C$3:$U$336,GDHI!R$578,FALSE))</f>
        <v>19274</v>
      </c>
      <c r="V36" s="84">
        <f>IFERROR(VLOOKUP($F36,GDHI!$B$338:$U$574,GDHI!T$578,FALSE),VLOOKUP($F36,GDHI!$C$3:$U$336,GDHI!S$578,FALSE))</f>
        <v>19552</v>
      </c>
      <c r="W36" s="84">
        <f>IFERROR(VLOOKUP($F36,GDHI!$B$338:$U$574,GDHI!U$578,FALSE),VLOOKUP($F36,GDHI!$C$3:$U$336,GDHI!T$578,FALSE))</f>
        <v>20486</v>
      </c>
      <c r="X36" s="84">
        <f>IFERROR(VLOOKUP($F36,GDHI!$B$338:$U$574,GDHI!V$578,FALSE),VLOOKUP($F36,GDHI!$C$3:$U$336,GDHI!U$578,FALSE))</f>
        <v>20924</v>
      </c>
    </row>
    <row r="37" spans="1:24" ht="51" customHeight="1" x14ac:dyDescent="0.3">
      <c r="B37" s="56"/>
      <c r="C37" s="56"/>
      <c r="D37" s="56"/>
      <c r="F37" s="116" t="s">
        <v>1648</v>
      </c>
      <c r="G37" s="117"/>
      <c r="H37" s="118"/>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1" t="s">
        <v>1010</v>
      </c>
      <c r="G38" s="112"/>
      <c r="H38" s="113"/>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21" t="str">
        <f>"% Gap - "&amp;F36&amp;" to Rural as a Region"</f>
        <v>% Gap - Devon to Rural as a Region</v>
      </c>
      <c r="G39" s="122"/>
      <c r="H39" s="123"/>
      <c r="I39" s="74">
        <f>100*((I36-I37)/I37)</f>
        <v>-8.1885856079404462</v>
      </c>
      <c r="J39" s="74">
        <f t="shared" ref="J39:X39" si="6">100*((J36-J37)/J37)</f>
        <v>-7.9095602402766918</v>
      </c>
      <c r="K39" s="74">
        <f t="shared" si="6"/>
        <v>-6.7204632667753614</v>
      </c>
      <c r="L39" s="74">
        <f t="shared" si="6"/>
        <v>-6.9662369128428274</v>
      </c>
      <c r="M39" s="74">
        <f t="shared" si="6"/>
        <v>-5.5813658191489193</v>
      </c>
      <c r="N39" s="74">
        <f t="shared" si="6"/>
        <v>-4.5331662771365995</v>
      </c>
      <c r="O39" s="74">
        <f t="shared" si="6"/>
        <v>-5.0715152669030736</v>
      </c>
      <c r="P39" s="74">
        <f t="shared" si="6"/>
        <v>-5.6968814957691354</v>
      </c>
      <c r="Q39" s="74">
        <f t="shared" si="6"/>
        <v>-5.7243640351729983</v>
      </c>
      <c r="R39" s="74">
        <f t="shared" si="6"/>
        <v>-5.4092598070784215</v>
      </c>
      <c r="S39" s="74">
        <f t="shared" si="6"/>
        <v>-5.96532060122742</v>
      </c>
      <c r="T39" s="74">
        <f t="shared" si="6"/>
        <v>-6.6005160308221855</v>
      </c>
      <c r="U39" s="74">
        <f t="shared" si="6"/>
        <v>-6.5498715145582267</v>
      </c>
      <c r="V39" s="74">
        <f t="shared" si="6"/>
        <v>-6.7419756163899756</v>
      </c>
      <c r="W39" s="74">
        <f t="shared" si="6"/>
        <v>-6.2077114848167474</v>
      </c>
      <c r="X39" s="74">
        <f t="shared" si="6"/>
        <v>-6.0234586324655695</v>
      </c>
    </row>
    <row r="40" spans="1:24" ht="51" customHeight="1" x14ac:dyDescent="0.3">
      <c r="B40" s="56"/>
      <c r="C40" s="56"/>
      <c r="D40" s="56"/>
      <c r="F40" s="101" t="s">
        <v>1667</v>
      </c>
      <c r="G40" s="102"/>
      <c r="H40" s="103"/>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9" t="s">
        <v>1671</v>
      </c>
      <c r="G43" s="119"/>
      <c r="H43" s="120"/>
      <c r="I43" s="99">
        <v>2017</v>
      </c>
      <c r="J43" s="91">
        <v>2018</v>
      </c>
    </row>
    <row r="44" spans="1:24" ht="51" customHeight="1" thickTop="1" x14ac:dyDescent="0.3">
      <c r="B44" s="69" t="s">
        <v>1634</v>
      </c>
      <c r="C44" s="56"/>
      <c r="D44" s="56"/>
      <c r="F44" s="87" t="str">
        <f>B4</f>
        <v>Devon</v>
      </c>
      <c r="G44" s="88"/>
      <c r="H44" s="89"/>
      <c r="I44" s="76">
        <f>VLOOKUP($F44,'LOW PAID'!$A$9:$N$444,6,FALSE)</f>
        <v>25.7</v>
      </c>
      <c r="J44" s="77">
        <f>VLOOKUP($F44,'LOW PAID'!$P$9:$W$444,6,FALSE)</f>
        <v>26.4</v>
      </c>
    </row>
    <row r="45" spans="1:24" ht="51" customHeight="1" x14ac:dyDescent="0.3">
      <c r="B45" s="56"/>
      <c r="C45" s="56"/>
      <c r="D45" s="56"/>
      <c r="F45" s="116" t="s">
        <v>1648</v>
      </c>
      <c r="G45" s="117"/>
      <c r="H45" s="118"/>
      <c r="I45" s="71">
        <f>VLOOKUP("Predominantly Rural",'LOW PAID'!$A$9:$N$444,6,FALSE)</f>
        <v>25.193874678213117</v>
      </c>
      <c r="J45" s="61">
        <f>VLOOKUP("Predominantly Rural",'LOW PAID'!$P$9:$W$444,6,FALSE)</f>
        <v>25.686116509030054</v>
      </c>
    </row>
    <row r="46" spans="1:24" ht="51" customHeight="1" thickBot="1" x14ac:dyDescent="0.35">
      <c r="B46" s="56"/>
      <c r="C46" s="56"/>
      <c r="D46" s="56"/>
      <c r="F46" s="111" t="s">
        <v>1010</v>
      </c>
      <c r="G46" s="112"/>
      <c r="H46" s="113"/>
      <c r="I46" s="78">
        <f>VLOOKUP($F46,'LOW PAID'!$A$9:$N$444,6,FALSE)</f>
        <v>22.2</v>
      </c>
      <c r="J46" s="79">
        <f>VLOOKUP($F46,'LOW PAID'!$P$9:$W$444,6,FALSE)</f>
        <v>22.9</v>
      </c>
    </row>
    <row r="47" spans="1:24" ht="51" customHeight="1" thickTop="1" x14ac:dyDescent="0.3">
      <c r="B47" s="56"/>
      <c r="C47" s="56"/>
      <c r="D47" s="56"/>
      <c r="F47" s="121" t="str">
        <f>"% Gap - "&amp;F44&amp;" to Rural as a Region"</f>
        <v>% Gap - Devon to Rural as a Region</v>
      </c>
      <c r="G47" s="122"/>
      <c r="H47" s="123"/>
      <c r="I47" s="74">
        <f>(I44-I45)</f>
        <v>0.50612532178688241</v>
      </c>
      <c r="J47" s="74">
        <f>(J44-J45)</f>
        <v>0.71388349096994475</v>
      </c>
    </row>
    <row r="48" spans="1:24" ht="51" customHeight="1" x14ac:dyDescent="0.3">
      <c r="B48" s="56"/>
      <c r="C48" s="56"/>
      <c r="D48" s="56"/>
      <c r="F48" s="101" t="s">
        <v>1667</v>
      </c>
      <c r="G48" s="102"/>
      <c r="H48" s="103"/>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04" t="s">
        <v>1665</v>
      </c>
      <c r="B51" s="66" t="s">
        <v>1462</v>
      </c>
      <c r="C51" s="55"/>
      <c r="D51" s="55"/>
      <c r="F51" s="106" t="s">
        <v>1672</v>
      </c>
      <c r="G51" s="106"/>
      <c r="H51" s="107"/>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04"/>
      <c r="B52" s="70" t="s">
        <v>1633</v>
      </c>
      <c r="C52" s="56"/>
      <c r="D52" s="56"/>
      <c r="F52" s="87" t="str">
        <f>B4</f>
        <v>Devon</v>
      </c>
      <c r="G52" s="88"/>
      <c r="H52" s="89"/>
      <c r="I52" s="76">
        <f>VLOOKUP($F52,INACTIVITY!$A$6:$BW$345,6,FALSE)</f>
        <v>21.6</v>
      </c>
      <c r="J52" s="77">
        <f>VLOOKUP($F52,INACTIVITY!$A$6:$BW$345,10,FALSE)</f>
        <v>21.4</v>
      </c>
      <c r="K52" s="77">
        <f>VLOOKUP($F52,INACTIVITY!$A$6:$BW$345,14,FALSE)</f>
        <v>22</v>
      </c>
      <c r="L52" s="77">
        <f>VLOOKUP($F52,INACTIVITY!$A$6:$BW$345,18,FALSE)</f>
        <v>20.9</v>
      </c>
      <c r="M52" s="77">
        <f>VLOOKUP($F52,INACTIVITY!$A$6:$BW$345,22,FALSE)</f>
        <v>19.600000000000001</v>
      </c>
      <c r="N52" s="77">
        <f>VLOOKUP($F52,INACTIVITY!$A$6:$BW$345,26,FALSE)</f>
        <v>19.7</v>
      </c>
      <c r="O52" s="77">
        <f>VLOOKUP($F52,INACTIVITY!$A$6:$BW$345,30,FALSE)</f>
        <v>22.6</v>
      </c>
      <c r="P52" s="77">
        <f>VLOOKUP($F52,INACTIVITY!$A$6:$BW$345,34,FALSE)</f>
        <v>22.1</v>
      </c>
      <c r="Q52" s="77">
        <f>VLOOKUP($F52,INACTIVITY!$A$6:$BW$345,38,FALSE)</f>
        <v>21.3</v>
      </c>
      <c r="R52" s="77">
        <f>VLOOKUP($F52,INACTIVITY!$A$6:$BW$345,42,FALSE)</f>
        <v>20.2</v>
      </c>
      <c r="S52" s="77">
        <f>VLOOKUP($F52,INACTIVITY!$A$6:$BW$345,46,FALSE)</f>
        <v>19.7</v>
      </c>
      <c r="T52" s="77">
        <f>VLOOKUP($F52,INACTIVITY!$A$6:$BW$345,50,FALSE)</f>
        <v>19.2</v>
      </c>
      <c r="U52" s="77">
        <f>VLOOKUP($F52,INACTIVITY!$A$6:$BW$345,54,FALSE)</f>
        <v>22.6</v>
      </c>
      <c r="V52" s="77">
        <f>VLOOKUP($F52,INACTIVITY!$A$6:$BW$345,58,FALSE)</f>
        <v>17.399999999999999</v>
      </c>
      <c r="W52" s="77">
        <f>VLOOKUP($F52,INACTIVITY!$A$6:$BW$345,62,FALSE)</f>
        <v>17.600000000000001</v>
      </c>
      <c r="X52" s="77">
        <f>VLOOKUP($F52,INACTIVITY!$A$6:$BW$345,66,FALSE)</f>
        <v>16.2</v>
      </c>
      <c r="Y52" s="77">
        <f>VLOOKUP($F52,INACTIVITY!$A$6:$BW$345,70,FALSE)</f>
        <v>17.3</v>
      </c>
      <c r="Z52" s="77">
        <f>VLOOKUP($F52,INACTIVITY!$A$6:$BW$345,74,FALSE)</f>
        <v>22.1</v>
      </c>
    </row>
    <row r="53" spans="1:26" ht="51" customHeight="1" x14ac:dyDescent="0.3">
      <c r="B53" s="56"/>
      <c r="C53" s="56"/>
      <c r="D53" s="56"/>
      <c r="F53" s="116" t="s">
        <v>1648</v>
      </c>
      <c r="G53" s="117"/>
      <c r="H53" s="118"/>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1" t="s">
        <v>1010</v>
      </c>
      <c r="G54" s="112"/>
      <c r="H54" s="113"/>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21" t="str">
        <f>"% Gap - "&amp;F52&amp;" to Rural as a Region"</f>
        <v>% Gap - Devon to Rural as a Region</v>
      </c>
      <c r="G55" s="122"/>
      <c r="H55" s="123"/>
      <c r="I55" s="74">
        <f>(I52-I53)</f>
        <v>0.20435542838976417</v>
      </c>
      <c r="J55" s="74">
        <f t="shared" ref="J55:Z55" si="10">(J52-J53)</f>
        <v>0.39147727272727195</v>
      </c>
      <c r="K55" s="74">
        <f t="shared" si="10"/>
        <v>1.1375346065412231</v>
      </c>
      <c r="L55" s="74">
        <f t="shared" si="10"/>
        <v>-0.41406533153664071</v>
      </c>
      <c r="M55" s="74">
        <f t="shared" si="10"/>
        <v>-1.2350023108920034</v>
      </c>
      <c r="N55" s="74">
        <f t="shared" si="10"/>
        <v>-1.2331437579204412</v>
      </c>
      <c r="O55" s="74">
        <f t="shared" si="10"/>
        <v>0.90806287249482764</v>
      </c>
      <c r="P55" s="74">
        <f t="shared" si="10"/>
        <v>0.60575421924655259</v>
      </c>
      <c r="Q55" s="74">
        <f t="shared" si="10"/>
        <v>0.11745120551090693</v>
      </c>
      <c r="R55" s="74">
        <f t="shared" si="10"/>
        <v>-0.57459309743877185</v>
      </c>
      <c r="S55" s="74">
        <f t="shared" si="10"/>
        <v>-0.57321045597240072</v>
      </c>
      <c r="T55" s="74">
        <f t="shared" si="10"/>
        <v>-0.4961946834069586</v>
      </c>
      <c r="U55" s="74">
        <f t="shared" si="10"/>
        <v>2.7475706529305306</v>
      </c>
      <c r="V55" s="74">
        <f t="shared" si="10"/>
        <v>-1.8532773342803779</v>
      </c>
      <c r="W55" s="74">
        <f t="shared" si="10"/>
        <v>-1.5769560091828474</v>
      </c>
      <c r="X55" s="74">
        <f t="shared" si="10"/>
        <v>-2.6520649493649309</v>
      </c>
      <c r="Y55" s="74">
        <f t="shared" si="10"/>
        <v>-2.4725827218714613</v>
      </c>
      <c r="Z55" s="74">
        <f t="shared" si="10"/>
        <v>1.0148202243699309</v>
      </c>
    </row>
    <row r="56" spans="1:26" ht="51" customHeight="1" x14ac:dyDescent="0.3">
      <c r="B56" s="56"/>
      <c r="C56" s="56"/>
      <c r="D56" s="56"/>
      <c r="F56" s="101" t="s">
        <v>1667</v>
      </c>
      <c r="G56" s="102"/>
      <c r="H56" s="103"/>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9" t="s">
        <v>1673</v>
      </c>
      <c r="G59" s="119"/>
      <c r="H59" s="120"/>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Devon</v>
      </c>
      <c r="G60" s="88"/>
      <c r="H60" s="89"/>
      <c r="I60" s="76">
        <f>VLOOKUP($F60,DISABILITY!$A$718:$I$1052,DISABILITY!B$1053,FALSE)</f>
        <v>26.699999999999996</v>
      </c>
      <c r="J60" s="77">
        <f>VLOOKUP($F60,DISABILITY!$A$718:$I$1052,DISABILITY!C$1053,FALSE)</f>
        <v>20.399999999999991</v>
      </c>
      <c r="K60" s="77">
        <f>VLOOKUP($F60,DISABILITY!$A$718:$I$1052,DISABILITY!D$1053,FALSE)</f>
        <v>23.599999999999994</v>
      </c>
      <c r="L60" s="77">
        <f>VLOOKUP($F60,DISABILITY!$A$718:$I$1052,DISABILITY!E$1053,FALSE)</f>
        <v>20.700000000000003</v>
      </c>
      <c r="M60" s="77">
        <f>VLOOKUP($F60,DISABILITY!$A$718:$I$1052,DISABILITY!F$1053,FALSE)</f>
        <v>23.699999999999996</v>
      </c>
      <c r="N60" s="77">
        <f>VLOOKUP($F60,DISABILITY!$A$718:$I$1052,DISABILITY!G$1053,FALSE)</f>
        <v>18.299999999999997</v>
      </c>
      <c r="O60" s="77">
        <f>VLOOKUP($F60,DISABILITY!$A$718:$I$1052,DISABILITY!H$1053,FALSE)</f>
        <v>18.799999999999997</v>
      </c>
      <c r="P60" s="77">
        <f>VLOOKUP($F60,DISABILITY!$A$718:$I$1052,DISABILITY!I$1053,FALSE)</f>
        <v>25.1</v>
      </c>
    </row>
    <row r="61" spans="1:26" ht="51" customHeight="1" x14ac:dyDescent="0.3">
      <c r="B61" s="56"/>
      <c r="C61" s="56"/>
      <c r="D61" s="56"/>
      <c r="F61" s="116" t="s">
        <v>1648</v>
      </c>
      <c r="G61" s="117"/>
      <c r="H61" s="118"/>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1" t="s">
        <v>1010</v>
      </c>
      <c r="G62" s="112"/>
      <c r="H62" s="113"/>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21" t="str">
        <f>"% Gap - "&amp;F60&amp;" to Rural as a Region"</f>
        <v>% Gap - Devon to Rural as a Region</v>
      </c>
      <c r="G63" s="122"/>
      <c r="H63" s="123"/>
      <c r="I63" s="74">
        <f>(I60-I61)</f>
        <v>-0.72015654064725254</v>
      </c>
      <c r="J63" s="74">
        <f t="shared" ref="J63:P63" si="12">(J60-J61)</f>
        <v>-6.9190444070511958</v>
      </c>
      <c r="K63" s="74">
        <f t="shared" si="12"/>
        <v>-4.5191283614982112</v>
      </c>
      <c r="L63" s="74">
        <f t="shared" si="12"/>
        <v>-5.2909345389966731</v>
      </c>
      <c r="M63" s="74">
        <f t="shared" si="12"/>
        <v>-1.7752258186661223</v>
      </c>
      <c r="N63" s="74">
        <f t="shared" si="12"/>
        <v>-7.2312476854419856</v>
      </c>
      <c r="O63" s="74">
        <f t="shared" si="12"/>
        <v>-4.9972222879969479</v>
      </c>
      <c r="P63" s="74">
        <f t="shared" si="12"/>
        <v>-0.2541779303421734</v>
      </c>
    </row>
    <row r="64" spans="1:26" ht="51" customHeight="1" x14ac:dyDescent="0.3">
      <c r="B64" s="56"/>
      <c r="C64" s="56"/>
      <c r="D64" s="56"/>
      <c r="F64" s="101" t="s">
        <v>1667</v>
      </c>
      <c r="G64" s="102"/>
      <c r="H64" s="103"/>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06" t="s">
        <v>1674</v>
      </c>
      <c r="G67" s="106"/>
      <c r="H67" s="107"/>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Devon</v>
      </c>
      <c r="G68" s="88"/>
      <c r="H68" s="89"/>
      <c r="I68" s="76">
        <f>VLOOKUP($F68,'WORKLESS HOUSEHOLDS'!$DW$4:$EC$397,7,FALSE)</f>
        <v>8.9243269812276047</v>
      </c>
      <c r="J68" s="77">
        <f>VLOOKUP($F68,'WORKLESS HOUSEHOLDS'!$DN$4:$DT$397,7,FALSE)</f>
        <v>7.6371637733833655</v>
      </c>
      <c r="K68" s="77">
        <f>VLOOKUP($F68,'WORKLESS HOUSEHOLDS'!$DE$4:$DK$397,7,FALSE)</f>
        <v>7.3556016981978001</v>
      </c>
      <c r="L68" s="77">
        <f>VLOOKUP($F68,'WORKLESS HOUSEHOLDS'!$CV$4:$DB$397,7,FALSE)</f>
        <v>6.2209772891183226</v>
      </c>
      <c r="M68" s="77">
        <f>VLOOKUP($F68,'WORKLESS HOUSEHOLDS'!$CM$4:$CS$397,7,FALSE)</f>
        <v>7.3511643436546352</v>
      </c>
      <c r="N68" s="77">
        <f>VLOOKUP($F68,'WORKLESS HOUSEHOLDS'!$CD$4:$CJ$397,7,FALSE)</f>
        <v>6.7290590935169243</v>
      </c>
      <c r="O68" s="77">
        <f>VLOOKUP($F68,'WORKLESS HOUSEHOLDS'!$BU$4:$CA$397,7,FALSE)</f>
        <v>8.6291247590883202</v>
      </c>
      <c r="P68" s="77">
        <f>VLOOKUP($F68,'WORKLESS HOUSEHOLDS'!$BL$4:$BR$397,7,FALSE)</f>
        <v>7.7056160779883562</v>
      </c>
      <c r="Q68" s="77">
        <f>VLOOKUP($F68,'WORKLESS HOUSEHOLDS'!$BC$4:$BI$397,7,FALSE)</f>
        <v>5.7484949733225186</v>
      </c>
      <c r="R68" s="77">
        <f>VLOOKUP($F68,'WORKLESS HOUSEHOLDS'!$AT$4:$AZ$397,7,FALSE)</f>
        <v>8.0902429751494829</v>
      </c>
      <c r="S68" s="77">
        <f>VLOOKUP($F68,'WORKLESS HOUSEHOLDS'!$AK$4:$AQ$397,7,FALSE)</f>
        <v>6.0236962432031635</v>
      </c>
      <c r="T68" s="77">
        <f>VLOOKUP($F68,'WORKLESS HOUSEHOLDS'!$AB$4:$AH$397,7,FALSE)</f>
        <v>5.3321436749390037</v>
      </c>
      <c r="U68" s="77">
        <f>VLOOKUP($F68,'WORKLESS HOUSEHOLDS'!$S$4:$Y$397,7,FALSE)</f>
        <v>8.208171449135925</v>
      </c>
      <c r="V68" s="77">
        <f>VLOOKUP($F68,'WORKLESS HOUSEHOLDS'!$J$4:$P$397,7,FALSE)</f>
        <v>6.2966206029323661</v>
      </c>
      <c r="W68" s="77">
        <f>VLOOKUP($F68,'WORKLESS HOUSEHOLDS'!$B$4:$H$397,7,FALSE)</f>
        <v>1.2481435595946226</v>
      </c>
    </row>
    <row r="69" spans="1:26" ht="51" customHeight="1" x14ac:dyDescent="0.3">
      <c r="B69" s="56"/>
      <c r="C69" s="56"/>
      <c r="D69" s="56"/>
      <c r="F69" s="108" t="s">
        <v>1648</v>
      </c>
      <c r="G69" s="109"/>
      <c r="H69" s="110"/>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1" t="s">
        <v>1010</v>
      </c>
      <c r="G70" s="112"/>
      <c r="H70" s="113"/>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21" t="str">
        <f>"% Gap - "&amp;F68&amp;" to Rural as a Region"</f>
        <v>% Gap - Devon to Rural as a Region</v>
      </c>
      <c r="G71" s="122"/>
      <c r="H71" s="123"/>
      <c r="I71" s="74">
        <f>(I68-I69)</f>
        <v>-1.0876188813590861</v>
      </c>
      <c r="J71" s="74">
        <f t="shared" ref="J71:W71" si="14">(J68-J69)</f>
        <v>-3.2739910640916587</v>
      </c>
      <c r="K71" s="74">
        <f t="shared" si="14"/>
        <v>-2.9376440309580438</v>
      </c>
      <c r="L71" s="74">
        <f t="shared" si="14"/>
        <v>-4.7450293722114099</v>
      </c>
      <c r="M71" s="74">
        <f t="shared" si="14"/>
        <v>-4.342614837533838</v>
      </c>
      <c r="N71" s="74">
        <f t="shared" si="14"/>
        <v>-5.1720405857384568</v>
      </c>
      <c r="O71" s="74">
        <f t="shared" si="14"/>
        <v>-2.4061284886541916</v>
      </c>
      <c r="P71" s="74">
        <f t="shared" si="14"/>
        <v>-1.9858818077794815</v>
      </c>
      <c r="Q71" s="74">
        <f t="shared" si="14"/>
        <v>-5.0566832870758933</v>
      </c>
      <c r="R71" s="74">
        <f t="shared" si="14"/>
        <v>-2.615853348580071</v>
      </c>
      <c r="S71" s="74">
        <f t="shared" si="14"/>
        <v>-4.1290485849457177</v>
      </c>
      <c r="T71" s="74">
        <f t="shared" si="14"/>
        <v>-4.5715245196937468</v>
      </c>
      <c r="U71" s="74">
        <f t="shared" si="14"/>
        <v>-2.5538787155435507</v>
      </c>
      <c r="V71" s="74">
        <f t="shared" si="14"/>
        <v>-3.6422478736072819</v>
      </c>
      <c r="W71" s="74">
        <f t="shared" si="14"/>
        <v>-9.1045578635895712</v>
      </c>
    </row>
    <row r="72" spans="1:26" ht="51" customHeight="1" x14ac:dyDescent="0.3">
      <c r="B72" s="56"/>
      <c r="C72" s="56"/>
      <c r="D72" s="56"/>
      <c r="F72" s="101" t="s">
        <v>1667</v>
      </c>
      <c r="G72" s="102"/>
      <c r="H72" s="103"/>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04" t="s">
        <v>6</v>
      </c>
      <c r="B75" s="66" t="s">
        <v>1462</v>
      </c>
      <c r="C75" s="55"/>
      <c r="D75" s="55"/>
      <c r="F75" s="114" t="s">
        <v>1675</v>
      </c>
      <c r="G75" s="114"/>
      <c r="H75" s="115"/>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04"/>
      <c r="B76" s="67" t="s">
        <v>1633</v>
      </c>
      <c r="C76" s="56"/>
      <c r="D76" s="56"/>
      <c r="F76" s="87" t="str">
        <f>B4</f>
        <v>Devon</v>
      </c>
      <c r="G76" s="88"/>
      <c r="H76" s="89"/>
      <c r="I76" s="76">
        <f>VLOOKUP($F76,'SKILLED EMPLOYMENT'!$A$1506:$BW$1841,6,FALSE)</f>
        <v>50.699999999999996</v>
      </c>
      <c r="J76" s="77">
        <f>VLOOKUP($F76,'SKILLED EMPLOYMENT'!$A$1506:$BW$1841,10,FALSE)</f>
        <v>51.1</v>
      </c>
      <c r="K76" s="77">
        <f>VLOOKUP($F76,'SKILLED EMPLOYMENT'!$A$1506:$BW$1841,14,FALSE)</f>
        <v>53.900000000000006</v>
      </c>
      <c r="L76" s="77">
        <f>VLOOKUP($F76,'SKILLED EMPLOYMENT'!$A$1506:$BW$1841,18,FALSE)</f>
        <v>54.199999999999996</v>
      </c>
      <c r="M76" s="77">
        <f>VLOOKUP($F76,'SKILLED EMPLOYMENT'!$A$1506:$BW$1841,22,FALSE)</f>
        <v>53.1</v>
      </c>
      <c r="N76" s="77">
        <f>VLOOKUP($F76,'SKILLED EMPLOYMENT'!$A$1506:$BW$1841,26,FALSE)</f>
        <v>52.6</v>
      </c>
      <c r="O76" s="77">
        <f>VLOOKUP($F76,'SKILLED EMPLOYMENT'!$A$1506:$BW$1841,30,FALSE)</f>
        <v>55.699999999999996</v>
      </c>
      <c r="P76" s="77">
        <f>VLOOKUP($F76,'SKILLED EMPLOYMENT'!$A$1506:$BW$1841,34,FALSE)</f>
        <v>54.7</v>
      </c>
      <c r="Q76" s="77">
        <f>VLOOKUP($F76,'SKILLED EMPLOYMENT'!$A$1506:$BW$1841,38,FALSE)</f>
        <v>54.8</v>
      </c>
      <c r="R76" s="77">
        <f>VLOOKUP($F76,'SKILLED EMPLOYMENT'!$A$1506:$BW$1841,42,FALSE)</f>
        <v>54</v>
      </c>
      <c r="S76" s="77">
        <f>VLOOKUP($F76,'SKILLED EMPLOYMENT'!$A$1506:$BW$1841,46,FALSE)</f>
        <v>56.9</v>
      </c>
      <c r="T76" s="77">
        <f>VLOOKUP($F76,'SKILLED EMPLOYMENT'!$A$1506:$BW$1841,50,FALSE)</f>
        <v>62</v>
      </c>
      <c r="U76" s="77">
        <f>VLOOKUP($F76,'SKILLED EMPLOYMENT'!$A$1506:$BW$1841,54,FALSE)</f>
        <v>56.1</v>
      </c>
      <c r="V76" s="77">
        <f>VLOOKUP($F76,'SKILLED EMPLOYMENT'!$A$1506:$BW$1841,58,FALSE)</f>
        <v>57.5</v>
      </c>
      <c r="W76" s="77">
        <f>VLOOKUP($F76,'SKILLED EMPLOYMENT'!$A$1506:$BW$1841,62,FALSE)</f>
        <v>58.7</v>
      </c>
      <c r="X76" s="77">
        <f>VLOOKUP($F76,'SKILLED EMPLOYMENT'!$A$1506:$BW$1841,66,FALSE)</f>
        <v>56.5</v>
      </c>
      <c r="Y76" s="77">
        <f>VLOOKUP($F76,'SKILLED EMPLOYMENT'!$A$1506:$BW$1841,70,FALSE)</f>
        <v>56.5</v>
      </c>
      <c r="Z76" s="77">
        <f>VLOOKUP($F76,'SKILLED EMPLOYMENT'!$A$1506:$BW$1841,74,FALSE)</f>
        <v>57.800000000000004</v>
      </c>
    </row>
    <row r="77" spans="1:26" ht="51" customHeight="1" x14ac:dyDescent="0.3">
      <c r="F77" s="116" t="s">
        <v>1648</v>
      </c>
      <c r="G77" s="117"/>
      <c r="H77" s="118"/>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1" t="s">
        <v>1010</v>
      </c>
      <c r="G78" s="112"/>
      <c r="H78" s="113"/>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21" t="str">
        <f>"% Gap - "&amp;F76&amp;" to Rural as a Region"</f>
        <v>% Gap - Devon to Rural as a Region</v>
      </c>
      <c r="G79" s="122"/>
      <c r="H79" s="123"/>
      <c r="I79" s="74">
        <f>(I76-I77)</f>
        <v>-2.0000000000000071</v>
      </c>
      <c r="J79" s="74">
        <f t="shared" ref="J79:Z79" si="17">(J76-J77)</f>
        <v>-1.7999999999999972</v>
      </c>
      <c r="K79" s="74">
        <f t="shared" si="17"/>
        <v>0.40000000000000568</v>
      </c>
      <c r="L79" s="74">
        <f t="shared" si="17"/>
        <v>0.19999999999999574</v>
      </c>
      <c r="M79" s="74">
        <f t="shared" si="17"/>
        <v>-1</v>
      </c>
      <c r="N79" s="74">
        <f t="shared" si="17"/>
        <v>-1.7999999999999972</v>
      </c>
      <c r="O79" s="74">
        <f t="shared" si="17"/>
        <v>0.29999999999999716</v>
      </c>
      <c r="P79" s="74">
        <f t="shared" si="17"/>
        <v>-0.89999999999999858</v>
      </c>
      <c r="Q79" s="74">
        <f t="shared" si="17"/>
        <v>-0.60000000000000142</v>
      </c>
      <c r="R79" s="74">
        <f t="shared" si="17"/>
        <v>-2.2000000000000028</v>
      </c>
      <c r="S79" s="74">
        <f t="shared" si="17"/>
        <v>0.69999999999999574</v>
      </c>
      <c r="T79" s="74">
        <f t="shared" si="17"/>
        <v>5.2000000000000028</v>
      </c>
      <c r="U79" s="74">
        <f t="shared" si="17"/>
        <v>-0.5</v>
      </c>
      <c r="V79" s="74">
        <f t="shared" si="17"/>
        <v>0.39999999999999858</v>
      </c>
      <c r="W79" s="74">
        <f t="shared" si="17"/>
        <v>0.90000000000000568</v>
      </c>
      <c r="X79" s="74">
        <f t="shared" si="17"/>
        <v>-2.2999999999999972</v>
      </c>
      <c r="Y79" s="74">
        <f t="shared" si="17"/>
        <v>-2.2000000000000028</v>
      </c>
      <c r="Z79" s="74">
        <f t="shared" si="17"/>
        <v>-0.59999999999999432</v>
      </c>
    </row>
    <row r="80" spans="1:26" ht="51" customHeight="1" x14ac:dyDescent="0.3">
      <c r="F80" s="101" t="s">
        <v>1667</v>
      </c>
      <c r="G80" s="102"/>
      <c r="H80" s="103"/>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TtECZUG4nFoT3qfmDSQUoDu5a6zukvcj5IYf72WVMOcfovbpo49kdH/l3jLIYP8d/z/rQGELoy0JPyZVjHdHTQ==" saltValue="hkirFEuCi1vu3fzvjelYdw==" spinCount="100000" sheet="1" objects="1" scenarios="1"/>
  <mergeCells count="49">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 ref="F31:H31"/>
    <mergeCell ref="F32:H32"/>
    <mergeCell ref="F39:H39"/>
    <mergeCell ref="F40:H40"/>
    <mergeCell ref="F47:H47"/>
    <mergeCell ref="F22:H22"/>
    <mergeCell ref="F27:H27"/>
    <mergeCell ref="F29:H29"/>
    <mergeCell ref="F30:H30"/>
    <mergeCell ref="F11:H11"/>
    <mergeCell ref="F13:H13"/>
    <mergeCell ref="F14:H14"/>
    <mergeCell ref="F15:H15"/>
    <mergeCell ref="F16:H16"/>
    <mergeCell ref="F23:H23"/>
    <mergeCell ref="F24:H24"/>
    <mergeCell ref="F21:H21"/>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37" t="s">
        <v>1044</v>
      </c>
      <c r="F3" s="138"/>
      <c r="P3" s="8"/>
      <c r="Q3" s="8"/>
      <c r="R3" s="8"/>
      <c r="S3" s="9"/>
      <c r="T3" s="137" t="s">
        <v>1044</v>
      </c>
      <c r="U3" s="138"/>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28" t="s">
        <v>1052</v>
      </c>
      <c r="J7" s="128"/>
      <c r="K7" s="128"/>
      <c r="L7" s="128"/>
      <c r="M7" s="128"/>
      <c r="N7" s="129"/>
      <c r="P7" s="16" t="s">
        <v>1009</v>
      </c>
      <c r="Q7" s="16"/>
      <c r="R7" s="16"/>
      <c r="S7" s="17" t="s">
        <v>483</v>
      </c>
      <c r="T7" s="18">
        <v>6058</v>
      </c>
      <c r="U7" s="19">
        <v>22.7</v>
      </c>
      <c r="W7" s="20" t="s">
        <v>1051</v>
      </c>
      <c r="X7" s="128" t="s">
        <v>1052</v>
      </c>
      <c r="Y7" s="128"/>
      <c r="Z7" s="128"/>
      <c r="AA7" s="128"/>
      <c r="AB7" s="128"/>
      <c r="AC7" s="129"/>
    </row>
    <row r="8" spans="1:29" x14ac:dyDescent="0.3">
      <c r="A8" s="16" t="s">
        <v>1053</v>
      </c>
      <c r="B8" s="16"/>
      <c r="C8" s="16"/>
      <c r="D8" s="17" t="s">
        <v>1054</v>
      </c>
      <c r="E8" s="18">
        <v>5351</v>
      </c>
      <c r="F8" s="19">
        <v>22.3</v>
      </c>
      <c r="H8" s="21" t="s">
        <v>1110</v>
      </c>
      <c r="I8" s="130" t="s">
        <v>1055</v>
      </c>
      <c r="J8" s="130"/>
      <c r="K8" s="130"/>
      <c r="L8" s="130"/>
      <c r="M8" s="130"/>
      <c r="N8" s="131"/>
      <c r="P8" s="16" t="s">
        <v>1053</v>
      </c>
      <c r="Q8" s="16"/>
      <c r="R8" s="16"/>
      <c r="S8" s="17" t="s">
        <v>1054</v>
      </c>
      <c r="T8" s="18">
        <v>5588</v>
      </c>
      <c r="U8" s="19">
        <v>23</v>
      </c>
      <c r="W8" s="21" t="s">
        <v>1110</v>
      </c>
      <c r="X8" s="130" t="s">
        <v>1055</v>
      </c>
      <c r="Y8" s="130"/>
      <c r="Z8" s="130"/>
      <c r="AA8" s="130"/>
      <c r="AB8" s="130"/>
      <c r="AC8" s="131"/>
    </row>
    <row r="9" spans="1:29" x14ac:dyDescent="0.3">
      <c r="A9" s="16" t="s">
        <v>1010</v>
      </c>
      <c r="B9" s="16"/>
      <c r="C9" s="16"/>
      <c r="D9" s="17" t="s">
        <v>485</v>
      </c>
      <c r="E9" s="22">
        <v>5062</v>
      </c>
      <c r="F9" s="23">
        <v>22.2</v>
      </c>
      <c r="H9" s="24" t="s">
        <v>1056</v>
      </c>
      <c r="I9" s="132" t="s">
        <v>1057</v>
      </c>
      <c r="J9" s="132"/>
      <c r="K9" s="132"/>
      <c r="L9" s="132"/>
      <c r="M9" s="132"/>
      <c r="N9" s="133"/>
      <c r="P9" s="16" t="s">
        <v>1010</v>
      </c>
      <c r="Q9" s="16"/>
      <c r="R9" s="16"/>
      <c r="S9" s="17" t="s">
        <v>485</v>
      </c>
      <c r="T9" s="22">
        <v>5284</v>
      </c>
      <c r="U9" s="23">
        <v>22.9</v>
      </c>
      <c r="W9" s="24" t="s">
        <v>1056</v>
      </c>
      <c r="X9" s="132" t="s">
        <v>1057</v>
      </c>
      <c r="Y9" s="132"/>
      <c r="Z9" s="132"/>
      <c r="AA9" s="132"/>
      <c r="AB9" s="132"/>
      <c r="AC9" s="133"/>
    </row>
    <row r="10" spans="1:29" x14ac:dyDescent="0.3">
      <c r="A10" s="16" t="s">
        <v>1058</v>
      </c>
      <c r="B10" s="16"/>
      <c r="C10" s="16"/>
      <c r="D10" s="17" t="s">
        <v>487</v>
      </c>
      <c r="E10" s="22">
        <v>249</v>
      </c>
      <c r="F10" s="23">
        <v>24.3</v>
      </c>
      <c r="H10" s="25" t="s">
        <v>1059</v>
      </c>
      <c r="I10" s="134" t="s">
        <v>1060</v>
      </c>
      <c r="J10" s="134"/>
      <c r="K10" s="134"/>
      <c r="L10" s="134"/>
      <c r="M10" s="134"/>
      <c r="N10" s="135"/>
      <c r="P10" s="16" t="s">
        <v>1058</v>
      </c>
      <c r="Q10" s="16"/>
      <c r="R10" s="16"/>
      <c r="S10" s="17" t="s">
        <v>487</v>
      </c>
      <c r="T10" s="22">
        <v>261</v>
      </c>
      <c r="U10" s="23">
        <v>25.3</v>
      </c>
      <c r="W10" s="25" t="s">
        <v>1059</v>
      </c>
      <c r="X10" s="134" t="s">
        <v>1060</v>
      </c>
      <c r="Y10" s="134"/>
      <c r="Z10" s="134"/>
      <c r="AA10" s="134"/>
      <c r="AB10" s="134"/>
      <c r="AC10" s="135"/>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4" t="s">
        <v>1062</v>
      </c>
      <c r="J11" s="134"/>
      <c r="K11" s="134"/>
      <c r="L11" s="134"/>
      <c r="M11" s="134"/>
      <c r="N11" s="135"/>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4" t="s">
        <v>1062</v>
      </c>
      <c r="Y11" s="134"/>
      <c r="Z11" s="134"/>
      <c r="AA11" s="134"/>
      <c r="AB11" s="134"/>
      <c r="AC11" s="135"/>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27"/>
      <c r="F438" s="127"/>
      <c r="G438" s="127"/>
      <c r="H438" s="127"/>
      <c r="I438" s="127"/>
      <c r="J438" s="127"/>
      <c r="K438" s="127"/>
      <c r="L438" s="127"/>
      <c r="M438" s="127"/>
      <c r="N438" s="127"/>
      <c r="P438" s="139" t="s">
        <v>1627</v>
      </c>
      <c r="Q438" s="139"/>
      <c r="R438" s="139"/>
      <c r="S438" s="139"/>
      <c r="T438" s="127"/>
      <c r="U438" s="127"/>
      <c r="V438" s="127"/>
      <c r="W438" s="127"/>
      <c r="X438" s="127"/>
      <c r="Y438" s="127"/>
      <c r="Z438" s="127"/>
      <c r="AA438" s="127"/>
      <c r="AB438" s="127"/>
      <c r="AC438" s="127"/>
    </row>
    <row r="439" spans="1:29" x14ac:dyDescent="0.3">
      <c r="A439" s="127" t="s">
        <v>1628</v>
      </c>
      <c r="B439" s="127"/>
      <c r="C439" s="127"/>
      <c r="D439" s="127"/>
      <c r="E439" s="127"/>
      <c r="F439" s="127"/>
      <c r="G439" s="127"/>
      <c r="H439" s="127"/>
      <c r="I439" s="127"/>
      <c r="J439" s="127"/>
      <c r="K439" s="127"/>
      <c r="L439" s="127"/>
      <c r="M439" s="127"/>
      <c r="N439" s="127"/>
      <c r="P439" s="127" t="s">
        <v>1628</v>
      </c>
      <c r="Q439" s="127"/>
      <c r="R439" s="127"/>
      <c r="S439" s="127"/>
      <c r="T439" s="127"/>
      <c r="U439" s="127"/>
      <c r="V439" s="127"/>
      <c r="W439" s="127"/>
      <c r="X439" s="127"/>
      <c r="Y439" s="127"/>
      <c r="Z439" s="127"/>
      <c r="AA439" s="127"/>
      <c r="AB439" s="127"/>
      <c r="AC439" s="127"/>
    </row>
    <row r="440" spans="1:29" x14ac:dyDescent="0.3">
      <c r="A440" s="127" t="s">
        <v>1629</v>
      </c>
      <c r="B440" s="127"/>
      <c r="C440" s="127"/>
      <c r="D440" s="127"/>
      <c r="E440" s="127"/>
      <c r="F440" s="127"/>
      <c r="G440" s="127"/>
      <c r="H440" s="127"/>
      <c r="I440" s="127"/>
      <c r="J440" s="127"/>
      <c r="K440" s="127"/>
      <c r="L440" s="127"/>
      <c r="M440" s="127"/>
      <c r="N440" s="127"/>
      <c r="P440" s="127" t="s">
        <v>1629</v>
      </c>
      <c r="Q440" s="127"/>
      <c r="R440" s="127"/>
      <c r="S440" s="127"/>
      <c r="T440" s="127"/>
      <c r="U440" s="127"/>
      <c r="V440" s="127"/>
      <c r="W440" s="127"/>
      <c r="X440" s="127"/>
      <c r="Y440" s="127"/>
      <c r="Z440" s="127"/>
      <c r="AA440" s="127"/>
      <c r="AB440" s="127"/>
      <c r="AC440" s="127"/>
    </row>
    <row r="441" spans="1:29" x14ac:dyDescent="0.3">
      <c r="A441" s="127" t="s">
        <v>1107</v>
      </c>
      <c r="B441" s="127"/>
      <c r="C441" s="127"/>
      <c r="D441" s="127"/>
      <c r="E441" s="127"/>
      <c r="F441" s="127"/>
      <c r="G441" s="127"/>
      <c r="H441" s="127"/>
      <c r="I441" s="127"/>
      <c r="J441" s="127"/>
      <c r="K441" s="127"/>
      <c r="L441" s="127"/>
      <c r="M441" s="127"/>
      <c r="N441" s="127"/>
      <c r="P441" s="127" t="s">
        <v>1107</v>
      </c>
      <c r="Q441" s="127"/>
      <c r="R441" s="127"/>
      <c r="S441" s="127"/>
      <c r="T441" s="127"/>
      <c r="U441" s="127"/>
      <c r="V441" s="127"/>
      <c r="W441" s="127"/>
      <c r="X441" s="127"/>
      <c r="Y441" s="127"/>
      <c r="Z441" s="127"/>
      <c r="AA441" s="127"/>
      <c r="AB441" s="127"/>
      <c r="AC441" s="127"/>
    </row>
    <row r="442" spans="1:29" x14ac:dyDescent="0.3">
      <c r="A442" s="136" t="s">
        <v>1108</v>
      </c>
      <c r="B442" s="136"/>
      <c r="C442" s="136"/>
      <c r="D442" s="136"/>
      <c r="E442" s="136"/>
      <c r="F442" s="136"/>
      <c r="G442" s="136"/>
      <c r="H442" s="136"/>
      <c r="I442" s="136"/>
      <c r="J442" s="136"/>
      <c r="K442" s="136"/>
      <c r="L442" s="136"/>
      <c r="M442" s="136"/>
      <c r="N442" s="136"/>
      <c r="P442" s="136" t="s">
        <v>1108</v>
      </c>
      <c r="Q442" s="136"/>
      <c r="R442" s="136"/>
      <c r="S442" s="136"/>
      <c r="T442" s="136"/>
      <c r="U442" s="136"/>
      <c r="V442" s="136"/>
      <c r="W442" s="136"/>
      <c r="X442" s="136"/>
      <c r="Y442" s="136"/>
      <c r="Z442" s="136"/>
      <c r="AA442" s="136"/>
      <c r="AB442" s="136"/>
      <c r="AC442" s="136"/>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 ref="A441:N441"/>
    <mergeCell ref="X7:AC7"/>
    <mergeCell ref="X8:AC8"/>
    <mergeCell ref="X9:AC9"/>
    <mergeCell ref="X10:AC10"/>
    <mergeCell ref="X11:A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2022-06-10T14:14:16Z</cp:lastPrinted>
  <dcterms:created xsi:type="dcterms:W3CDTF">2022-05-30T09:14:22Z</dcterms:created>
  <dcterms:modified xsi:type="dcterms:W3CDTF">2022-08-02T11:02:49Z</dcterms:modified>
</cp:coreProperties>
</file>