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E9A19517-0D2B-4EBF-BE38-5B5D8D0687E1}" xr6:coauthVersionLast="47" xr6:coauthVersionMax="47" xr10:uidLastSave="{C99F69F5-271A-4581-AB20-70055C4B4BE5}"/>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l="1"/>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<sst xmlns="http://schemas.openxmlformats.org/spreadsheetml/2006/main" count="32859" uniqueCount="1676">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</sst>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East Devon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24.46</c:v>
                </c:pt>
                <c:pt idx="1">
                  <c:v>24.55</c:v>
                </c:pt>
                <c:pt idx="2">
                  <c:v>24.02</c:v>
                </c:pt>
                <c:pt idx="3">
                  <c:v>24.32</c:v>
                </c:pt>
                <c:pt idx="4">
                  <c:v>25.05</c:v>
                </c:pt>
                <c:pt idx="5">
                  <c:v>25.7</c:v>
                </c:pt>
                <c:pt idx="6">
                  <c:v>26.42</c:v>
                </c:pt>
                <c:pt idx="7">
                  <c:v>27.01</c:v>
                </c:pt>
                <c:pt idx="8">
                  <c:v>27.85</c:v>
                </c:pt>
                <c:pt idx="9">
                  <c:v>27.71</c:v>
                </c:pt>
                <c:pt idx="10">
                  <c:v>27.3</c:v>
                </c:pt>
                <c:pt idx="11">
                  <c:v>26.89</c:v>
                </c:pt>
                <c:pt idx="12">
                  <c:v>27.51</c:v>
                </c:pt>
                <c:pt idx="13">
                  <c:v>28.82</c:v>
                </c:pt>
                <c:pt idx="14">
                  <c:v>29.87</c:v>
                </c:pt>
                <c:pt idx="15">
                  <c:v>30.5</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East Devon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380.1</c:v>
                </c:pt>
                <c:pt idx="1">
                  <c:v>383.3</c:v>
                </c:pt>
                <c:pt idx="2">
                  <c:v>378.6</c:v>
                </c:pt>
                <c:pt idx="3">
                  <c:v>400.1</c:v>
                </c:pt>
                <c:pt idx="4">
                  <c:v>429.9</c:v>
                </c:pt>
                <c:pt idx="5">
                  <c:v>435.4</c:v>
                </c:pt>
                <c:pt idx="6">
                  <c:v>439.2</c:v>
                </c:pt>
                <c:pt idx="7">
                  <c:v>465.8</c:v>
                </c:pt>
                <c:pt idx="8">
                  <c:v>488</c:v>
                </c:pt>
                <c:pt idx="9">
                  <c:v>490</c:v>
                </c:pt>
                <c:pt idx="10">
                  <c:v>479.1</c:v>
                </c:pt>
                <c:pt idx="11">
                  <c:v>511.3</c:v>
                </c:pt>
                <c:pt idx="12">
                  <c:v>515.20000000000005</c:v>
                </c:pt>
                <c:pt idx="13">
                  <c:v>574.9</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East Devon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75.599999999999994</c:v>
                </c:pt>
                <c:pt idx="1">
                  <c:v>74.7</c:v>
                </c:pt>
                <c:pt idx="2">
                  <c:v>75</c:v>
                </c:pt>
                <c:pt idx="3">
                  <c:v>77.099999999999994</c:v>
                </c:pt>
                <c:pt idx="4">
                  <c:v>80.7</c:v>
                </c:pt>
                <c:pt idx="5">
                  <c:v>76.900000000000006</c:v>
                </c:pt>
                <c:pt idx="6">
                  <c:v>69.900000000000006</c:v>
                </c:pt>
                <c:pt idx="7">
                  <c:v>69.900000000000006</c:v>
                </c:pt>
                <c:pt idx="8">
                  <c:v>75.5</c:v>
                </c:pt>
                <c:pt idx="9">
                  <c:v>77.099999999999994</c:v>
                </c:pt>
                <c:pt idx="10">
                  <c:v>78</c:v>
                </c:pt>
                <c:pt idx="11">
                  <c:v>80.400000000000006</c:v>
                </c:pt>
                <c:pt idx="12">
                  <c:v>76.099999999999994</c:v>
                </c:pt>
                <c:pt idx="13">
                  <c:v>80.099999999999994</c:v>
                </c:pt>
                <c:pt idx="14">
                  <c:v>82.9</c:v>
                </c:pt>
                <c:pt idx="15">
                  <c:v>81.900000000000006</c:v>
                </c:pt>
                <c:pt idx="16">
                  <c:v>86.5</c:v>
                </c:pt>
                <c:pt idx="17">
                  <c:v>71.900000000000006</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East Devon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14419</c:v>
                </c:pt>
                <c:pt idx="1">
                  <c:v>15139</c:v>
                </c:pt>
                <c:pt idx="2">
                  <c:v>15867</c:v>
                </c:pt>
                <c:pt idx="3">
                  <c:v>16550</c:v>
                </c:pt>
                <c:pt idx="4">
                  <c:v>17430</c:v>
                </c:pt>
                <c:pt idx="5">
                  <c:v>17553</c:v>
                </c:pt>
                <c:pt idx="6">
                  <c:v>17625</c:v>
                </c:pt>
                <c:pt idx="7">
                  <c:v>17882</c:v>
                </c:pt>
                <c:pt idx="8">
                  <c:v>18268</c:v>
                </c:pt>
                <c:pt idx="9">
                  <c:v>18749</c:v>
                </c:pt>
                <c:pt idx="10">
                  <c:v>19238</c:v>
                </c:pt>
                <c:pt idx="11">
                  <c:v>20099</c:v>
                </c:pt>
                <c:pt idx="12">
                  <c:v>20173</c:v>
                </c:pt>
                <c:pt idx="13">
                  <c:v>20389</c:v>
                </c:pt>
                <c:pt idx="14">
                  <c:v>21524</c:v>
                </c:pt>
                <c:pt idx="15">
                  <c:v>22078</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East Devon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26.9</c:v>
                </c:pt>
                <c:pt idx="1">
                  <c:v>24.2</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East Devon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22.8</c:v>
                </c:pt>
                <c:pt idx="1">
                  <c:v>23</c:v>
                </c:pt>
                <c:pt idx="2">
                  <c:v>22.6</c:v>
                </c:pt>
                <c:pt idx="3">
                  <c:v>20.5</c:v>
                </c:pt>
                <c:pt idx="4">
                  <c:v>18</c:v>
                </c:pt>
                <c:pt idx="5">
                  <c:v>20.399999999999999</c:v>
                </c:pt>
                <c:pt idx="6">
                  <c:v>25.2</c:v>
                </c:pt>
                <c:pt idx="7">
                  <c:v>24.3</c:v>
                </c:pt>
                <c:pt idx="8">
                  <c:v>23.5</c:v>
                </c:pt>
                <c:pt idx="9">
                  <c:v>20.7</c:v>
                </c:pt>
                <c:pt idx="10">
                  <c:v>18.7</c:v>
                </c:pt>
                <c:pt idx="11">
                  <c:v>18.100000000000001</c:v>
                </c:pt>
                <c:pt idx="12">
                  <c:v>19.3</c:v>
                </c:pt>
                <c:pt idx="13">
                  <c:v>19.899999999999999</c:v>
                </c:pt>
                <c:pt idx="14">
                  <c:v>16.7</c:v>
                </c:pt>
                <c:pt idx="15">
                  <c:v>16.5</c:v>
                </c:pt>
                <c:pt idx="16">
                  <c:v>11.7</c:v>
                </c:pt>
                <c:pt idx="17">
                  <c:v>26</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East Devon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35</c:v>
                </c:pt>
                <c:pt idx="1">
                  <c:v>20.299999999999997</c:v>
                </c:pt>
                <c:pt idx="2">
                  <c:v>36</c:v>
                </c:pt>
                <c:pt idx="3">
                  <c:v>29</c:v>
                </c:pt>
                <c:pt idx="4">
                  <c:v>8.3999999999999915</c:v>
                </c:pt>
                <c:pt idx="5">
                  <c:v>17.099999999999994</c:v>
                </c:pt>
                <c:pt idx="6">
                  <c:v>12.699999999999989</c:v>
                </c:pt>
                <c:pt idx="7">
                  <c:v>27.300000000000004</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East Devon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3.9136916787653999</c:v>
                </c:pt>
                <c:pt idx="1">
                  <c:v>0</c:v>
                </c:pt>
                <c:pt idx="2">
                  <c:v>6.2916292494748616</c:v>
                </c:pt>
                <c:pt idx="3">
                  <c:v>11.893410393843071</c:v>
                </c:pt>
                <c:pt idx="4">
                  <c:v>11.806940435760273</c:v>
                </c:pt>
                <c:pt idx="5">
                  <c:v>7.5171412842200098</c:v>
                </c:pt>
                <c:pt idx="6">
                  <c:v>6.7555483294041139</c:v>
                </c:pt>
                <c:pt idx="7">
                  <c:v>4.0578859880707929</c:v>
                </c:pt>
                <c:pt idx="8">
                  <c:v>4.9083148909263361</c:v>
                </c:pt>
                <c:pt idx="9">
                  <c:v>15.017676172519442</c:v>
                </c:pt>
                <c:pt idx="10">
                  <c:v>9.2520880789673505</c:v>
                </c:pt>
                <c:pt idx="11">
                  <c:v>4.0101522842639588</c:v>
                </c:pt>
                <c:pt idx="12">
                  <c:v>10.803141977231046</c:v>
                </c:pt>
                <c:pt idx="13">
                  <c:v>11.384286477819348</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East Devon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55.2</c:v>
                </c:pt>
                <c:pt idx="1">
                  <c:v>51.3</c:v>
                </c:pt>
                <c:pt idx="2">
                  <c:v>64.599999999999994</c:v>
                </c:pt>
                <c:pt idx="3">
                  <c:v>56</c:v>
                </c:pt>
                <c:pt idx="4">
                  <c:v>46.5</c:v>
                </c:pt>
                <c:pt idx="5">
                  <c:v>46.3</c:v>
                </c:pt>
                <c:pt idx="6">
                  <c:v>56.199999999999996</c:v>
                </c:pt>
                <c:pt idx="7">
                  <c:v>53.8</c:v>
                </c:pt>
                <c:pt idx="8">
                  <c:v>60.599999999999994</c:v>
                </c:pt>
                <c:pt idx="9">
                  <c:v>57.6</c:v>
                </c:pt>
                <c:pt idx="10">
                  <c:v>65.3</c:v>
                </c:pt>
                <c:pt idx="11">
                  <c:v>66.3</c:v>
                </c:pt>
                <c:pt idx="12">
                  <c:v>61.6</c:v>
                </c:pt>
                <c:pt idx="13">
                  <c:v>59.6</c:v>
                </c:pt>
                <c:pt idx="14">
                  <c:v>55.099999999999994</c:v>
                </c:pt>
                <c:pt idx="15">
                  <c:v>51.3</c:v>
                </c:pt>
                <c:pt idx="16">
                  <c:v>57.100000000000009</c:v>
                </c:pt>
                <c:pt idx="17">
                  <c:v>55.300000000000004</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East Devon is generally in line with or greater than the rural situation.</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GDHI per head for East Devon closely matches that of 'Rural as a Region'.</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East Devon dropped between 2017 and 2018 moving it from above to below the rural situation.</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East Devon's economic inactivity rate has fluctuated taking it both above as well as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East Devon shows no real pattern of change with some significant fluctuations from year to year.</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East Devon has been less stable and has in certain years been markedly lower than both the England and rural average position.</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The proportion for East Devon has fluctuated in the period 2004 to 2021 taking it at times above the England and rural positions, and at other times below.</a:t>
          </a:r>
          <a:endParaRPr lang="en-GB" sz="1100">
            <a:latin typeface="Avenir Next LT Pro" panose="020B0504020202020204" pitchFamily="34" charset="0"/>
          </a:endParaRPr>
        </a:p>
      </xdr:txBody>
    </xdr:sp>
    <xdr:clientData/>
  </xdr:twoCellAnchor>
  <xdr:twoCellAnchor>
    <xdr:from>
      <xdr:col>0</xdr:col>
      <xdr:colOff>563880</xdr:colOff>
      <xdr:row>12</xdr:row>
      <xdr:rowOff>495300</xdr:rowOff>
    </xdr:from>
    <xdr:to>
      <xdr:col>1</xdr:col>
      <xdr:colOff>2545080</xdr:colOff>
      <xdr:row>14</xdr:row>
      <xdr:rowOff>0</xdr:rowOff>
    </xdr:to>
    <xdr:sp macro="" textlink="">
      <xdr:nvSpPr>
        <xdr:cNvPr id="20" name="TextBox 19">
          <a:extLst>
            <a:ext uri="{FF2B5EF4-FFF2-40B4-BE49-F238E27FC236}">
              <a16:creationId xmlns:a16="http://schemas.microsoft.com/office/drawing/2014/main" id="{EE47EDA9-2BB1-461F-8842-122659805DCD}"/>
            </a:ext>
          </a:extLst>
        </xdr:cNvPr>
        <xdr:cNvSpPr txBox="1"/>
      </xdr:nvSpPr>
      <xdr:spPr>
        <a:xfrm>
          <a:off x="563880" y="348234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East Devon roughly follows a similar path to the rural situation.</a:t>
          </a:r>
          <a:endParaRPr lang="en-GB" sz="1100">
            <a:latin typeface="Avenir Next LT Pro" panose="020B0504020202020204" pitchFamily="34" charset="0"/>
          </a:endParaRPr>
        </a:p>
      </xdr:txBody>
    </xdr:sp>
    <xdr:clientData/>
  </xdr:twoCellAnchor>
  <xdr:twoCellAnchor>
    <xdr:from>
      <xdr:col>0</xdr:col>
      <xdr:colOff>617220</xdr:colOff>
      <xdr:row>21</xdr:row>
      <xdr:rowOff>0</xdr:rowOff>
    </xdr:from>
    <xdr:to>
      <xdr:col>1</xdr:col>
      <xdr:colOff>2598420</xdr:colOff>
      <xdr:row>22</xdr:row>
      <xdr:rowOff>358140</xdr:rowOff>
    </xdr:to>
    <xdr:sp macro="" textlink="">
      <xdr:nvSpPr>
        <xdr:cNvPr id="21" name="TextBox 20">
          <a:extLst>
            <a:ext uri="{FF2B5EF4-FFF2-40B4-BE49-F238E27FC236}">
              <a16:creationId xmlns:a16="http://schemas.microsoft.com/office/drawing/2014/main" id="{42F33B46-1795-40D1-8050-605A71543B67}"/>
            </a:ext>
          </a:extLst>
        </xdr:cNvPr>
        <xdr:cNvSpPr txBox="1"/>
      </xdr:nvSpPr>
      <xdr:spPr>
        <a:xfrm>
          <a:off x="617220" y="75742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East Devon in 2008 is below that of either England or 'Rural as a Region', however a greater rate of increase to 2021 results in it closing the gap to England and moving ahead of the rural situation.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433</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East Devon</v>
      </c>
      <c r="G12" s="88" t="str">
        <f>IFERROR(VLOOKUP(F12,GVA!B244:B552,1,FALSE),VLOOKUP(F12,GVA!B6:C230,2,FALSE))</f>
        <v>East Devon</v>
      </c>
      <c r="H12" s="89" t="str">
        <f>IF(F12=G12,"",G12)</f>
        <v/>
      </c>
      <c r="I12" s="76">
        <f>IFERROR(VLOOKUP($F12,GVA!$B$7:$S$230,GVA!D$3,FALSE),VLOOKUP($F12,GVA!$B$244:$T$554,GVA!E$3,FALSE))</f>
        <v>24.46</v>
      </c>
      <c r="J12" s="77">
        <f>IFERROR(VLOOKUP($F12,GVA!$B$7:$S$230,GVA!E$3,FALSE),VLOOKUP($F12,GVA!$B$244:$T$554,GVA!F$3,FALSE))</f>
        <v>24.55</v>
      </c>
      <c r="K12" s="77">
        <f>IFERROR(VLOOKUP($F12,GVA!$B$7:$S$230,GVA!F$3,FALSE),VLOOKUP($F12,GVA!$B$244:$T$554,GVA!G$3,FALSE))</f>
        <v>24.02</v>
      </c>
      <c r="L12" s="77">
        <f>IFERROR(VLOOKUP($F12,GVA!$B$7:$S$230,GVA!G$3,FALSE),VLOOKUP($F12,GVA!$B$244:$T$554,GVA!H$3,FALSE))</f>
        <v>24.32</v>
      </c>
      <c r="M12" s="77">
        <f>IFERROR(VLOOKUP($F12,GVA!$B$7:$S$230,GVA!H$3,FALSE),VLOOKUP($F12,GVA!$B$244:$T$554,GVA!I$3,FALSE))</f>
        <v>25.05</v>
      </c>
      <c r="N12" s="77">
        <f>IFERROR(VLOOKUP($F12,GVA!$B$7:$S$230,GVA!I$3,FALSE),VLOOKUP($F12,GVA!$B$244:$T$554,GVA!J$3,FALSE))</f>
        <v>25.7</v>
      </c>
      <c r="O12" s="77">
        <f>IFERROR(VLOOKUP($F12,GVA!$B$7:$S$230,GVA!J$3,FALSE),VLOOKUP($F12,GVA!$B$244:$T$554,GVA!K$3,FALSE))</f>
        <v>26.42</v>
      </c>
      <c r="P12" s="77">
        <f>IFERROR(VLOOKUP($F12,GVA!$B$7:$S$230,GVA!K$3,FALSE),VLOOKUP($F12,GVA!$B$244:$T$554,GVA!L$3,FALSE))</f>
        <v>27.01</v>
      </c>
      <c r="Q12" s="77">
        <f>IFERROR(VLOOKUP($F12,GVA!$B$7:$S$230,GVA!L$3,FALSE),VLOOKUP($F12,GVA!$B$244:$T$554,GVA!M$3,FALSE))</f>
        <v>27.85</v>
      </c>
      <c r="R12" s="77">
        <f>IFERROR(VLOOKUP($F12,GVA!$B$7:$S$230,GVA!M$3,FALSE),VLOOKUP($F12,GVA!$B$244:$T$554,GVA!N$3,FALSE))</f>
        <v>27.71</v>
      </c>
      <c r="S12" s="77">
        <f>IFERROR(VLOOKUP($F12,GVA!$B$7:$S$230,GVA!N$3,FALSE),VLOOKUP($F12,GVA!$B$244:$T$554,GVA!O$3,FALSE))</f>
        <v>27.3</v>
      </c>
      <c r="T12" s="77">
        <f>IFERROR(VLOOKUP($F12,GVA!$B$7:$S$230,GVA!O$3,FALSE),VLOOKUP($F12,GVA!$B$244:$T$554,GVA!P$3,FALSE))</f>
        <v>26.89</v>
      </c>
      <c r="U12" s="77">
        <f>IFERROR(VLOOKUP($F12,GVA!$B$7:$S$230,GVA!P$3,FALSE),VLOOKUP($F12,GVA!$B$244:$T$554,GVA!Q$3,FALSE))</f>
        <v>27.51</v>
      </c>
      <c r="V12" s="77">
        <f>IFERROR(VLOOKUP($F12,GVA!$B$7:$S$230,GVA!Q$3,FALSE),VLOOKUP($F12,GVA!$B$244:$T$554,GVA!R$3,FALSE))</f>
        <v>28.82</v>
      </c>
      <c r="W12" s="77">
        <f>IFERROR(VLOOKUP($F12,GVA!$B$7:$S$230,GVA!R$3,FALSE),VLOOKUP($F12,GVA!$B$244:$T$554,GVA!S$3,FALSE))</f>
        <v>29.87</v>
      </c>
      <c r="X12" s="77">
        <f>IFERROR(VLOOKUP($F12,GVA!$B$7:$S$230,GVA!S$3,FALSE),VLOOKUP($F12,GVA!$B$244:$T$554,GVA!T$3,FALSE))</f>
        <v>30.5</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East Devon to Rural as a Region</v>
      </c>
      <c r="G15" s="122"/>
      <c r="H15" s="123"/>
      <c r="I15" s="74">
        <f>100*((I12-I13)/I13)</f>
        <v>3.907715804326001</v>
      </c>
      <c r="J15" s="74">
        <f t="shared" ref="J15:X15" si="0">100*((J12-J13)/J13)</f>
        <v>4.5804004300464527</v>
      </c>
      <c r="K15" s="74">
        <f t="shared" si="0"/>
        <v>-1.1682414659594123</v>
      </c>
      <c r="L15" s="74">
        <f t="shared" si="0"/>
        <v>-2.0877667222637819</v>
      </c>
      <c r="M15" s="74">
        <f t="shared" si="0"/>
        <v>-0.84957803819565236</v>
      </c>
      <c r="N15" s="74">
        <f t="shared" si="0"/>
        <v>0.89217697725392042</v>
      </c>
      <c r="O15" s="74">
        <f t="shared" si="0"/>
        <v>2.4423344119425949</v>
      </c>
      <c r="P15" s="74">
        <f t="shared" si="0"/>
        <v>3.1914748461570173</v>
      </c>
      <c r="Q15" s="74">
        <f t="shared" si="0"/>
        <v>4.265276106431334</v>
      </c>
      <c r="R15" s="74">
        <f t="shared" si="0"/>
        <v>1.9727417298618293</v>
      </c>
      <c r="S15" s="74">
        <f t="shared" si="0"/>
        <v>-1.1751929565993409</v>
      </c>
      <c r="T15" s="74">
        <f t="shared" si="0"/>
        <v>-4.4695572736038818</v>
      </c>
      <c r="U15" s="74">
        <f t="shared" si="0"/>
        <v>-4.6018057143800482</v>
      </c>
      <c r="V15" s="74">
        <f t="shared" si="0"/>
        <v>-2.7036151357434117</v>
      </c>
      <c r="W15" s="74">
        <f t="shared" si="0"/>
        <v>-1.2052652095333773</v>
      </c>
      <c r="X15" s="74">
        <f t="shared" si="0"/>
        <v>-0.16794541579156175</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East Devon</v>
      </c>
      <c r="G20" s="88"/>
      <c r="H20" s="89"/>
      <c r="I20" s="80">
        <f>IF(VLOOKUP($F20,PAY!$A$11:$AE$349,4,FALSE)="-",#N/A,VLOOKUP($F20,PAY!$A$11:$AE$349,4,FALSE))</f>
        <v>380.1</v>
      </c>
      <c r="J20" s="80">
        <f>IF(VLOOKUP($F20,PAY!$A$11:$AE$349,6,FALSE)="-",#N/A,VLOOKUP($F20,PAY!$A$11:$AE$349,6,FALSE))</f>
        <v>383.3</v>
      </c>
      <c r="K20" s="80">
        <f>IF(VLOOKUP($F20,PAY!$A$11:$AE$349,8,FALSE)="-",#N/A,VLOOKUP($F20,PAY!$A$11:$AE$349,8,FALSE))</f>
        <v>378.6</v>
      </c>
      <c r="L20" s="80">
        <f>IF(VLOOKUP($F20,PAY!$A$11:$AE$349,10,FALSE)="-",#N/A,VLOOKUP($F20,PAY!$A$11:$AE$349,10,FALSE))</f>
        <v>400.1</v>
      </c>
      <c r="M20" s="80">
        <f>IF(VLOOKUP($F20,PAY!$A$11:$AE$349,12,FALSE)="-",#N/A,VLOOKUP($F20,PAY!$A$11:$AE$349,12,FALSE))</f>
        <v>429.9</v>
      </c>
      <c r="N20" s="80">
        <f>IF(VLOOKUP($F20,PAY!$A$11:$AE$349,14,FALSE)="-",#N/A,VLOOKUP($F20,PAY!$A$11:$AE$349,14,FALSE))</f>
        <v>435.4</v>
      </c>
      <c r="O20" s="80">
        <f>IF(VLOOKUP($F20,PAY!$A$11:$AE$349,16,FALSE)="-",#N/A,VLOOKUP($F20,PAY!$A$11:$AE$349,16,FALSE))</f>
        <v>439.2</v>
      </c>
      <c r="P20" s="80">
        <f>IF(VLOOKUP($F20,PAY!$A$11:$AE$349,18,FALSE)="-",#N/A,VLOOKUP($F20,PAY!$A$11:$AE$349,18,FALSE))</f>
        <v>465.8</v>
      </c>
      <c r="Q20" s="80">
        <f>IF(VLOOKUP($F20,PAY!$A$11:$AE$349,20,FALSE)="-",#N/A,VLOOKUP($F20,PAY!$A$11:$AE$349,20,FALSE))</f>
        <v>488</v>
      </c>
      <c r="R20" s="80">
        <f>IF(VLOOKUP($F20,PAY!$A$11:$AE$349,22,FALSE)="-",#N/A,VLOOKUP($F20,PAY!$A$11:$AE$349,22,FALSE))</f>
        <v>490</v>
      </c>
      <c r="S20" s="80">
        <f>IF(VLOOKUP($F20,PAY!$A$11:$AE$349,24,FALSE)="-",#N/A,VLOOKUP($F20,PAY!$A$11:$AE$349,24,FALSE))</f>
        <v>479.1</v>
      </c>
      <c r="T20" s="80">
        <f>IF(VLOOKUP($F20,PAY!$A$11:$AE$349,26,FALSE)="-",#N/A,VLOOKUP($F20,PAY!$A$11:$AE$349,26,FALSE))</f>
        <v>511.3</v>
      </c>
      <c r="U20" s="80">
        <f>IF(VLOOKUP($F20,PAY!$A$11:$AE$349,28,FALSE)="-",#N/A,VLOOKUP($F20,PAY!$A$11:$AE$349,28,FALSE))</f>
        <v>515.20000000000005</v>
      </c>
      <c r="V20" s="80">
        <f>IF(VLOOKUP($F20,PAY!$A$11:$AE$349,30,FALSE)="-",#N/A,VLOOKUP($F20,PAY!$A$11:$AE$349,30,FALSE))</f>
        <v>574.9</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East Devon to Rural as a Region</v>
      </c>
      <c r="G23" s="122"/>
      <c r="H23" s="123"/>
      <c r="I23" s="74">
        <f>100*((I20-I21)/I21)</f>
        <v>-12.215550306375409</v>
      </c>
      <c r="J23" s="74">
        <f t="shared" ref="J23:V23" si="2">100*((J20-J21)/J21)</f>
        <v>-12.273273445099273</v>
      </c>
      <c r="K23" s="74">
        <f t="shared" si="2"/>
        <v>-15.512317483453828</v>
      </c>
      <c r="L23" s="74">
        <f t="shared" si="2"/>
        <v>-11.217754258235562</v>
      </c>
      <c r="M23" s="74">
        <f t="shared" si="2"/>
        <v>-5.5669248864148413</v>
      </c>
      <c r="N23" s="74">
        <f t="shared" si="2"/>
        <v>-5.9960754947992143</v>
      </c>
      <c r="O23" s="74">
        <f t="shared" si="2"/>
        <v>-6.7124812466727981</v>
      </c>
      <c r="P23" s="74">
        <f t="shared" si="2"/>
        <v>-1.8999810721683577</v>
      </c>
      <c r="Q23" s="74">
        <f t="shared" si="2"/>
        <v>-0.30282577044721581</v>
      </c>
      <c r="R23" s="74">
        <f t="shared" si="2"/>
        <v>-2.7887645810574644</v>
      </c>
      <c r="S23" s="74">
        <f t="shared" si="2"/>
        <v>-6.8670006092516029</v>
      </c>
      <c r="T23" s="74">
        <f t="shared" si="2"/>
        <v>-4.1969007845070339</v>
      </c>
      <c r="U23" s="74">
        <f t="shared" si="2"/>
        <v>-2.9843228894888032</v>
      </c>
      <c r="V23" s="74">
        <f t="shared" si="2"/>
        <v>1.8866997913868238</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East Devon</v>
      </c>
      <c r="G28" s="88"/>
      <c r="H28" s="89"/>
      <c r="I28" s="76">
        <f>VLOOKUP($F28,EMPLOYMENT!$A$6:$BW$345,6,FALSE)</f>
        <v>75.599999999999994</v>
      </c>
      <c r="J28" s="77">
        <f>VLOOKUP($F28,EMPLOYMENT!$A$6:$BW$345,10,FALSE)</f>
        <v>74.7</v>
      </c>
      <c r="K28" s="77">
        <f>VLOOKUP($F28,EMPLOYMENT!$A$6:$BW$345,14,FALSE)</f>
        <v>75</v>
      </c>
      <c r="L28" s="77">
        <f>VLOOKUP($F28,EMPLOYMENT!$A$6:$BW$345,18,FALSE)</f>
        <v>77.099999999999994</v>
      </c>
      <c r="M28" s="77">
        <f>VLOOKUP($F28,EMPLOYMENT!$A$6:$BW$345,22,FALSE)</f>
        <v>80.7</v>
      </c>
      <c r="N28" s="77">
        <f>VLOOKUP($F28,EMPLOYMENT!$A$6:$BW$345,26,FALSE)</f>
        <v>76.900000000000006</v>
      </c>
      <c r="O28" s="77">
        <f>VLOOKUP($F28,EMPLOYMENT!$A$6:$BW$345,30,FALSE)</f>
        <v>69.900000000000006</v>
      </c>
      <c r="P28" s="77">
        <f>VLOOKUP($F28,EMPLOYMENT!$A$6:$BW$345,34,FALSE)</f>
        <v>69.900000000000006</v>
      </c>
      <c r="Q28" s="77">
        <f>VLOOKUP($F28,EMPLOYMENT!$A$6:$BW$345,38,FALSE)</f>
        <v>75.5</v>
      </c>
      <c r="R28" s="77">
        <f>VLOOKUP($F28,EMPLOYMENT!$A$6:$BW$345,42,FALSE)</f>
        <v>77.099999999999994</v>
      </c>
      <c r="S28" s="77">
        <f>VLOOKUP($F28,EMPLOYMENT!$A$6:$BW$345,46,FALSE)</f>
        <v>78</v>
      </c>
      <c r="T28" s="77">
        <f>VLOOKUP($F28,EMPLOYMENT!$A$6:$BW$345,50,FALSE)</f>
        <v>80.400000000000006</v>
      </c>
      <c r="U28" s="77">
        <f>VLOOKUP($F28,EMPLOYMENT!$A$6:$BW$345,54,FALSE)</f>
        <v>76.099999999999994</v>
      </c>
      <c r="V28" s="77">
        <f>VLOOKUP($F28,EMPLOYMENT!$A$6:$BW$345,58,FALSE)</f>
        <v>80.099999999999994</v>
      </c>
      <c r="W28" s="77">
        <f>VLOOKUP($F28,EMPLOYMENT!$A$6:$BW$345,62,FALSE)</f>
        <v>82.9</v>
      </c>
      <c r="X28" s="77">
        <f>VLOOKUP($F28,EMPLOYMENT!$A$6:$BW$345,66,FALSE)</f>
        <v>81.900000000000006</v>
      </c>
      <c r="Y28" s="77">
        <f>VLOOKUP($F28,EMPLOYMENT!$A$6:$BW$345,70,FALSE)</f>
        <v>86.5</v>
      </c>
      <c r="Z28" s="77">
        <f>VLOOKUP($F28,EMPLOYMENT!$A$6:$BW$345,74,FALSE)</f>
        <v>71.900000000000006</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East Devon to Rural as a Region</v>
      </c>
      <c r="G31" s="122"/>
      <c r="H31" s="123"/>
      <c r="I31" s="74">
        <f>(I28-I29)</f>
        <v>-0.51134191940174389</v>
      </c>
      <c r="J31" s="74">
        <f t="shared" ref="J31:Z31" si="4">(J28-J29)</f>
        <v>-1.6129754666829541</v>
      </c>
      <c r="K31" s="74">
        <f t="shared" si="4"/>
        <v>-0.87318889948676315</v>
      </c>
      <c r="L31" s="74">
        <f t="shared" si="4"/>
        <v>1.4595316973721566</v>
      </c>
      <c r="M31" s="74">
        <f t="shared" si="4"/>
        <v>4.9644756266682606</v>
      </c>
      <c r="N31" s="74">
        <f t="shared" si="4"/>
        <v>2.3904601571268245</v>
      </c>
      <c r="O31" s="74">
        <f t="shared" si="4"/>
        <v>-3.6471331389698634</v>
      </c>
      <c r="P31" s="74">
        <f t="shared" si="4"/>
        <v>-3.8342954032776078</v>
      </c>
      <c r="Q31" s="74">
        <f t="shared" si="4"/>
        <v>1.4668425245374266</v>
      </c>
      <c r="R31" s="74">
        <f t="shared" si="4"/>
        <v>2.3555250700997874</v>
      </c>
      <c r="S31" s="74">
        <f t="shared" si="4"/>
        <v>1.8911396599243915</v>
      </c>
      <c r="T31" s="74">
        <f t="shared" si="4"/>
        <v>3.2094680243909863</v>
      </c>
      <c r="U31" s="74">
        <f t="shared" si="4"/>
        <v>-0.87163248170804764</v>
      </c>
      <c r="V31" s="74">
        <f t="shared" si="4"/>
        <v>2.0672131147540966</v>
      </c>
      <c r="W31" s="74">
        <f t="shared" si="4"/>
        <v>4.8518431065858607</v>
      </c>
      <c r="X31" s="74">
        <f t="shared" si="4"/>
        <v>3.3087006210433003</v>
      </c>
      <c r="Y31" s="74">
        <f t="shared" si="4"/>
        <v>9.4856537038707955</v>
      </c>
      <c r="Z31" s="74">
        <f t="shared" si="4"/>
        <v>-4.2557580778790367</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East Devon</v>
      </c>
      <c r="G36" s="88" t="str">
        <f>IFERROR(VLOOKUP(F36,GDHI!B338:C574,2,FALSE),VLOOKUP(F36,GDHI!C3:C336,1,FALSE))</f>
        <v>East Devon</v>
      </c>
      <c r="H36" s="89" t="str">
        <f>IF(F36=G36,"",G36)</f>
        <v/>
      </c>
      <c r="I36" s="83">
        <f>IFERROR(VLOOKUP($F36,GDHI!$B$338:$U$574,GDHI!G$578,FALSE),VLOOKUP($F36,GDHI!$C$3:$U$336,GDHI!F$578,FALSE))</f>
        <v>14419</v>
      </c>
      <c r="J36" s="84">
        <f>IFERROR(VLOOKUP($F36,GDHI!$B$338:$U$574,GDHI!H$578,FALSE),VLOOKUP($F36,GDHI!$C$3:$U$336,GDHI!G$578,FALSE))</f>
        <v>15139</v>
      </c>
      <c r="K36" s="84">
        <f>IFERROR(VLOOKUP($F36,GDHI!$B$338:$U$574,GDHI!I$578,FALSE),VLOOKUP($F36,GDHI!$C$3:$U$336,GDHI!H$578,FALSE))</f>
        <v>15867</v>
      </c>
      <c r="L36" s="84">
        <f>IFERROR(VLOOKUP($F36,GDHI!$B$338:$U$574,GDHI!J$578,FALSE),VLOOKUP($F36,GDHI!$C$3:$U$336,GDHI!I$578,FALSE))</f>
        <v>16550</v>
      </c>
      <c r="M36" s="84">
        <f>IFERROR(VLOOKUP($F36,GDHI!$B$338:$U$574,GDHI!K$578,FALSE),VLOOKUP($F36,GDHI!$C$3:$U$336,GDHI!J$578,FALSE))</f>
        <v>17430</v>
      </c>
      <c r="N36" s="84">
        <f>IFERROR(VLOOKUP($F36,GDHI!$B$338:$U$574,GDHI!L$578,FALSE),VLOOKUP($F36,GDHI!$C$3:$U$336,GDHI!K$578,FALSE))</f>
        <v>17553</v>
      </c>
      <c r="O36" s="84">
        <f>IFERROR(VLOOKUP($F36,GDHI!$B$338:$U$574,GDHI!M$578,FALSE),VLOOKUP($F36,GDHI!$C$3:$U$336,GDHI!L$578,FALSE))</f>
        <v>17625</v>
      </c>
      <c r="P36" s="84">
        <f>IFERROR(VLOOKUP($F36,GDHI!$B$338:$U$574,GDHI!N$578,FALSE),VLOOKUP($F36,GDHI!$C$3:$U$336,GDHI!M$578,FALSE))</f>
        <v>17882</v>
      </c>
      <c r="Q36" s="84">
        <f>IFERROR(VLOOKUP($F36,GDHI!$B$338:$U$574,GDHI!O$578,FALSE),VLOOKUP($F36,GDHI!$C$3:$U$336,GDHI!N$578,FALSE))</f>
        <v>18268</v>
      </c>
      <c r="R36" s="84">
        <f>IFERROR(VLOOKUP($F36,GDHI!$B$338:$U$574,GDHI!P$578,FALSE),VLOOKUP($F36,GDHI!$C$3:$U$336,GDHI!O$578,FALSE))</f>
        <v>18749</v>
      </c>
      <c r="S36" s="84">
        <f>IFERROR(VLOOKUP($F36,GDHI!$B$338:$U$574,GDHI!Q$578,FALSE),VLOOKUP($F36,GDHI!$C$3:$U$336,GDHI!P$578,FALSE))</f>
        <v>19238</v>
      </c>
      <c r="T36" s="84">
        <f>IFERROR(VLOOKUP($F36,GDHI!$B$338:$U$574,GDHI!R$578,FALSE),VLOOKUP($F36,GDHI!$C$3:$U$336,GDHI!Q$578,FALSE))</f>
        <v>20099</v>
      </c>
      <c r="U36" s="84">
        <f>IFERROR(VLOOKUP($F36,GDHI!$B$338:$U$574,GDHI!S$578,FALSE),VLOOKUP($F36,GDHI!$C$3:$U$336,GDHI!R$578,FALSE))</f>
        <v>20173</v>
      </c>
      <c r="V36" s="84">
        <f>IFERROR(VLOOKUP($F36,GDHI!$B$338:$U$574,GDHI!T$578,FALSE),VLOOKUP($F36,GDHI!$C$3:$U$336,GDHI!S$578,FALSE))</f>
        <v>20389</v>
      </c>
      <c r="W36" s="84">
        <f>IFERROR(VLOOKUP($F36,GDHI!$B$338:$U$574,GDHI!U$578,FALSE),VLOOKUP($F36,GDHI!$C$3:$U$336,GDHI!T$578,FALSE))</f>
        <v>21524</v>
      </c>
      <c r="X36" s="84">
        <f>IFERROR(VLOOKUP($F36,GDHI!$B$338:$U$574,GDHI!V$578,FALSE),VLOOKUP($F36,GDHI!$C$3:$U$336,GDHI!U$578,FALSE))</f>
        <v>22078</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East Devon to Rural as a Region</v>
      </c>
      <c r="G39" s="122"/>
      <c r="H39" s="123"/>
      <c r="I39" s="74">
        <f>100*((I36-I37)/I37)</f>
        <v>-1.9749141711139058</v>
      </c>
      <c r="J39" s="74">
        <f t="shared" ref="J39:X39" si="6">100*((J36-J37)/J37)</f>
        <v>-1.3195662852172159</v>
      </c>
      <c r="K39" s="74">
        <f t="shared" si="6"/>
        <v>-0.35906763524469265</v>
      </c>
      <c r="L39" s="74">
        <f t="shared" si="6"/>
        <v>-0.10971979418377938</v>
      </c>
      <c r="M39" s="74">
        <f t="shared" si="6"/>
        <v>2.1486433971965946</v>
      </c>
      <c r="N39" s="74">
        <f t="shared" si="6"/>
        <v>1.5039876635423874</v>
      </c>
      <c r="O39" s="74">
        <f t="shared" si="6"/>
        <v>0.66874509150621642</v>
      </c>
      <c r="P39" s="74">
        <f t="shared" si="6"/>
        <v>0.46040540287479559</v>
      </c>
      <c r="Q39" s="74">
        <f t="shared" si="6"/>
        <v>-0.535528859055174</v>
      </c>
      <c r="R39" s="74">
        <f t="shared" si="6"/>
        <v>-0.66197345672510621</v>
      </c>
      <c r="S39" s="74">
        <f t="shared" si="6"/>
        <v>-0.81478358059176048</v>
      </c>
      <c r="T39" s="74">
        <f t="shared" si="6"/>
        <v>-1.7565298149201962</v>
      </c>
      <c r="U39" s="74">
        <f t="shared" si="6"/>
        <v>-2.1910635085183721</v>
      </c>
      <c r="V39" s="74">
        <f t="shared" si="6"/>
        <v>-2.7497003295097788</v>
      </c>
      <c r="W39" s="74">
        <f t="shared" si="6"/>
        <v>-1.4553735233425598</v>
      </c>
      <c r="X39" s="74">
        <f t="shared" si="6"/>
        <v>-0.84046643507813268</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East Devon</v>
      </c>
      <c r="G44" s="88"/>
      <c r="H44" s="89"/>
      <c r="I44" s="76">
        <f>VLOOKUP($F44,'LOW PAID'!$A$9:$N$444,6,FALSE)</f>
        <v>26.9</v>
      </c>
      <c r="J44" s="77">
        <f>VLOOKUP($F44,'LOW PAID'!$P$9:$W$444,6,FALSE)</f>
        <v>24.2</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East Devon to Rural as a Region</v>
      </c>
      <c r="G47" s="122"/>
      <c r="H47" s="123"/>
      <c r="I47" s="74">
        <f>(I44-I45)</f>
        <v>1.7061253217868817</v>
      </c>
      <c r="J47" s="74">
        <f>(J44-J45)</f>
        <v>-1.4861165090300545</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East Devon</v>
      </c>
      <c r="G52" s="88"/>
      <c r="H52" s="89"/>
      <c r="I52" s="76">
        <f>VLOOKUP($F52,INACTIVITY!$A$6:$BW$345,6,FALSE)</f>
        <v>22.8</v>
      </c>
      <c r="J52" s="77">
        <f>VLOOKUP($F52,INACTIVITY!$A$6:$BW$345,10,FALSE)</f>
        <v>23</v>
      </c>
      <c r="K52" s="77">
        <f>VLOOKUP($F52,INACTIVITY!$A$6:$BW$345,14,FALSE)</f>
        <v>22.6</v>
      </c>
      <c r="L52" s="77">
        <f>VLOOKUP($F52,INACTIVITY!$A$6:$BW$345,18,FALSE)</f>
        <v>20.5</v>
      </c>
      <c r="M52" s="77">
        <f>VLOOKUP($F52,INACTIVITY!$A$6:$BW$345,22,FALSE)</f>
        <v>18</v>
      </c>
      <c r="N52" s="77">
        <f>VLOOKUP($F52,INACTIVITY!$A$6:$BW$345,26,FALSE)</f>
        <v>20.399999999999999</v>
      </c>
      <c r="O52" s="77">
        <f>VLOOKUP($F52,INACTIVITY!$A$6:$BW$345,30,FALSE)</f>
        <v>25.2</v>
      </c>
      <c r="P52" s="77">
        <f>VLOOKUP($F52,INACTIVITY!$A$6:$BW$345,34,FALSE)</f>
        <v>24.3</v>
      </c>
      <c r="Q52" s="77">
        <f>VLOOKUP($F52,INACTIVITY!$A$6:$BW$345,38,FALSE)</f>
        <v>23.5</v>
      </c>
      <c r="R52" s="77">
        <f>VLOOKUP($F52,INACTIVITY!$A$6:$BW$345,42,FALSE)</f>
        <v>20.7</v>
      </c>
      <c r="S52" s="77">
        <f>VLOOKUP($F52,INACTIVITY!$A$6:$BW$345,46,FALSE)</f>
        <v>18.7</v>
      </c>
      <c r="T52" s="77">
        <f>VLOOKUP($F52,INACTIVITY!$A$6:$BW$345,50,FALSE)</f>
        <v>18.100000000000001</v>
      </c>
      <c r="U52" s="77">
        <f>VLOOKUP($F52,INACTIVITY!$A$6:$BW$345,54,FALSE)</f>
        <v>19.3</v>
      </c>
      <c r="V52" s="77">
        <f>VLOOKUP($F52,INACTIVITY!$A$6:$BW$345,58,FALSE)</f>
        <v>19.899999999999999</v>
      </c>
      <c r="W52" s="77">
        <f>VLOOKUP($F52,INACTIVITY!$A$6:$BW$345,62,FALSE)</f>
        <v>16.7</v>
      </c>
      <c r="X52" s="77">
        <f>VLOOKUP($F52,INACTIVITY!$A$6:$BW$345,66,FALSE)</f>
        <v>16.5</v>
      </c>
      <c r="Y52" s="77">
        <f>VLOOKUP($F52,INACTIVITY!$A$6:$BW$345,70,FALSE)</f>
        <v>11.7</v>
      </c>
      <c r="Z52" s="77">
        <f>VLOOKUP($F52,INACTIVITY!$A$6:$BW$345,74,FALSE)</f>
        <v>26</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East Devon to Rural as a Region</v>
      </c>
      <c r="G55" s="122"/>
      <c r="H55" s="123"/>
      <c r="I55" s="74">
        <f>(I52-I53)</f>
        <v>1.4043554283897635</v>
      </c>
      <c r="J55" s="74">
        <f t="shared" ref="J55:Z55" si="10">(J52-J53)</f>
        <v>1.9914772727272734</v>
      </c>
      <c r="K55" s="74">
        <f t="shared" si="10"/>
        <v>1.7375346065412245</v>
      </c>
      <c r="L55" s="74">
        <f t="shared" si="10"/>
        <v>-0.81406533153663929</v>
      </c>
      <c r="M55" s="74">
        <f t="shared" si="10"/>
        <v>-2.8350023108920048</v>
      </c>
      <c r="N55" s="74">
        <f t="shared" si="10"/>
        <v>-0.53314375792044189</v>
      </c>
      <c r="O55" s="74">
        <f t="shared" si="10"/>
        <v>3.5080628724948255</v>
      </c>
      <c r="P55" s="74">
        <f t="shared" si="10"/>
        <v>2.8057542192465519</v>
      </c>
      <c r="Q55" s="74">
        <f t="shared" si="10"/>
        <v>2.3174512055109062</v>
      </c>
      <c r="R55" s="74">
        <f t="shared" si="10"/>
        <v>-7.4593097438771849E-2</v>
      </c>
      <c r="S55" s="74">
        <f t="shared" si="10"/>
        <v>-1.5732104559724007</v>
      </c>
      <c r="T55" s="74">
        <f t="shared" si="10"/>
        <v>-1.5961946834069565</v>
      </c>
      <c r="U55" s="74">
        <f t="shared" si="10"/>
        <v>-0.55242934706947011</v>
      </c>
      <c r="V55" s="74">
        <f t="shared" si="10"/>
        <v>0.64672266571962211</v>
      </c>
      <c r="W55" s="74">
        <f t="shared" si="10"/>
        <v>-2.4769560091828495</v>
      </c>
      <c r="X55" s="74">
        <f t="shared" si="10"/>
        <v>-2.3520649493649302</v>
      </c>
      <c r="Y55" s="74">
        <f t="shared" si="10"/>
        <v>-8.0725827218714628</v>
      </c>
      <c r="Z55" s="74">
        <f t="shared" si="10"/>
        <v>4.9148202243699295</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East Devon</v>
      </c>
      <c r="G60" s="88"/>
      <c r="H60" s="89"/>
      <c r="I60" s="76">
        <f>VLOOKUP($F60,DISABILITY!$A$718:$I$1052,DISABILITY!B$1053,FALSE)</f>
        <v>35</v>
      </c>
      <c r="J60" s="77">
        <f>VLOOKUP($F60,DISABILITY!$A$718:$I$1052,DISABILITY!C$1053,FALSE)</f>
        <v>20.299999999999997</v>
      </c>
      <c r="K60" s="77">
        <f>VLOOKUP($F60,DISABILITY!$A$718:$I$1052,DISABILITY!D$1053,FALSE)</f>
        <v>36</v>
      </c>
      <c r="L60" s="77">
        <f>VLOOKUP($F60,DISABILITY!$A$718:$I$1052,DISABILITY!E$1053,FALSE)</f>
        <v>29</v>
      </c>
      <c r="M60" s="77">
        <f>VLOOKUP($F60,DISABILITY!$A$718:$I$1052,DISABILITY!F$1053,FALSE)</f>
        <v>8.3999999999999915</v>
      </c>
      <c r="N60" s="77">
        <f>VLOOKUP($F60,DISABILITY!$A$718:$I$1052,DISABILITY!G$1053,FALSE)</f>
        <v>17.099999999999994</v>
      </c>
      <c r="O60" s="77">
        <f>VLOOKUP($F60,DISABILITY!$A$718:$I$1052,DISABILITY!H$1053,FALSE)</f>
        <v>12.699999999999989</v>
      </c>
      <c r="P60" s="77">
        <f>VLOOKUP($F60,DISABILITY!$A$718:$I$1052,DISABILITY!I$1053,FALSE)</f>
        <v>27.300000000000004</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East Devon to Rural as a Region</v>
      </c>
      <c r="G63" s="122"/>
      <c r="H63" s="123"/>
      <c r="I63" s="74">
        <f>(I60-I61)</f>
        <v>7.5798434593527517</v>
      </c>
      <c r="J63" s="74">
        <f t="shared" ref="J63:P63" si="12">(J60-J61)</f>
        <v>-7.0190444070511901</v>
      </c>
      <c r="K63" s="74">
        <f t="shared" si="12"/>
        <v>7.8808716385017945</v>
      </c>
      <c r="L63" s="74">
        <f t="shared" si="12"/>
        <v>3.0090654610033241</v>
      </c>
      <c r="M63" s="74">
        <f t="shared" si="12"/>
        <v>-17.075225818666127</v>
      </c>
      <c r="N63" s="74">
        <f t="shared" si="12"/>
        <v>-8.4312476854419884</v>
      </c>
      <c r="O63" s="74">
        <f t="shared" si="12"/>
        <v>-11.097222287996956</v>
      </c>
      <c r="P63" s="74">
        <f t="shared" si="12"/>
        <v>1.9458220696578294</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East Devon</v>
      </c>
      <c r="G68" s="88"/>
      <c r="H68" s="89"/>
      <c r="I68" s="76">
        <f>VLOOKUP($F68,'WORKLESS HOUSEHOLDS'!$DW$4:$EC$397,7,FALSE)</f>
        <v>3.9136916787653999</v>
      </c>
      <c r="J68" s="77" t="str">
        <f>VLOOKUP($F68,'WORKLESS HOUSEHOLDS'!$DN$4:$DT$397,7,FALSE)</f>
        <v>*</v>
      </c>
      <c r="K68" s="77">
        <f>VLOOKUP($F68,'WORKLESS HOUSEHOLDS'!$DE$4:$DK$397,7,FALSE)</f>
        <v>6.2916292494748616</v>
      </c>
      <c r="L68" s="77">
        <f>VLOOKUP($F68,'WORKLESS HOUSEHOLDS'!$CV$4:$DB$397,7,FALSE)</f>
        <v>11.893410393843071</v>
      </c>
      <c r="M68" s="77">
        <f>VLOOKUP($F68,'WORKLESS HOUSEHOLDS'!$CM$4:$CS$397,7,FALSE)</f>
        <v>11.806940435760273</v>
      </c>
      <c r="N68" s="77">
        <f>VLOOKUP($F68,'WORKLESS HOUSEHOLDS'!$CD$4:$CJ$397,7,FALSE)</f>
        <v>7.5171412842200098</v>
      </c>
      <c r="O68" s="77">
        <f>VLOOKUP($F68,'WORKLESS HOUSEHOLDS'!$BU$4:$CA$397,7,FALSE)</f>
        <v>6.7555483294041139</v>
      </c>
      <c r="P68" s="77">
        <f>VLOOKUP($F68,'WORKLESS HOUSEHOLDS'!$BL$4:$BR$397,7,FALSE)</f>
        <v>4.0578859880707929</v>
      </c>
      <c r="Q68" s="77">
        <f>VLOOKUP($F68,'WORKLESS HOUSEHOLDS'!$BC$4:$BI$397,7,FALSE)</f>
        <v>4.9083148909263361</v>
      </c>
      <c r="R68" s="77">
        <f>VLOOKUP($F68,'WORKLESS HOUSEHOLDS'!$AT$4:$AZ$397,7,FALSE)</f>
        <v>15.017676172519442</v>
      </c>
      <c r="S68" s="77">
        <f>VLOOKUP($F68,'WORKLESS HOUSEHOLDS'!$AK$4:$AQ$397,7,FALSE)</f>
        <v>9.2520880789673505</v>
      </c>
      <c r="T68" s="77">
        <f>VLOOKUP($F68,'WORKLESS HOUSEHOLDS'!$AB$4:$AH$397,7,FALSE)</f>
        <v>4.0101522842639588</v>
      </c>
      <c r="U68" s="77">
        <f>VLOOKUP($F68,'WORKLESS HOUSEHOLDS'!$S$4:$Y$397,7,FALSE)</f>
        <v>10.803141977231046</v>
      </c>
      <c r="V68" s="77">
        <f>VLOOKUP($F68,'WORKLESS HOUSEHOLDS'!$J$4:$P$397,7,FALSE)</f>
        <v>11.384286477819348</v>
      </c>
      <c r="W68" s="77" t="str">
        <f>VLOOKUP($F68,'WORKLESS HOUSEHOLDS'!$B$4:$H$397,7,FALSE)</f>
        <v>n/a</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East Devon to Rural as a Region</v>
      </c>
      <c r="G71" s="122"/>
      <c r="H71" s="123"/>
      <c r="I71" s="74">
        <f>(I68-I69)</f>
        <v>-6.0982541838212914</v>
      </c>
      <c r="J71" s="74" t="e">
        <f t="shared" ref="J71:W71" si="14">(J68-J69)</f>
        <v>#VALUE!</v>
      </c>
      <c r="K71" s="74">
        <f t="shared" si="14"/>
        <v>-4.0016164796809823</v>
      </c>
      <c r="L71" s="74">
        <f t="shared" si="14"/>
        <v>0.92740373251333885</v>
      </c>
      <c r="M71" s="74">
        <f t="shared" si="14"/>
        <v>0.11316125457179993</v>
      </c>
      <c r="N71" s="74">
        <f t="shared" si="14"/>
        <v>-4.3839583950353713</v>
      </c>
      <c r="O71" s="74">
        <f t="shared" si="14"/>
        <v>-4.2797049183383979</v>
      </c>
      <c r="P71" s="74">
        <f t="shared" si="14"/>
        <v>-5.6336118976970448</v>
      </c>
      <c r="Q71" s="74">
        <f t="shared" si="14"/>
        <v>-5.8968633694720758</v>
      </c>
      <c r="R71" s="74">
        <f t="shared" si="14"/>
        <v>4.3115798487898882</v>
      </c>
      <c r="S71" s="74">
        <f t="shared" si="14"/>
        <v>-0.90065674918153071</v>
      </c>
      <c r="T71" s="74">
        <f t="shared" si="14"/>
        <v>-5.8935159103687917</v>
      </c>
      <c r="U71" s="74">
        <f t="shared" si="14"/>
        <v>4.1091812551570683E-2</v>
      </c>
      <c r="V71" s="74">
        <f t="shared" si="14"/>
        <v>1.4454180012797</v>
      </c>
      <c r="W71" s="74" t="e">
        <f t="shared" si="14"/>
        <v>#VALUE!</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East Devon</v>
      </c>
      <c r="G76" s="88"/>
      <c r="H76" s="89"/>
      <c r="I76" s="76">
        <f>VLOOKUP($F76,'SKILLED EMPLOYMENT'!$A$1506:$BW$1841,6,FALSE)</f>
        <v>55.2</v>
      </c>
      <c r="J76" s="77">
        <f>VLOOKUP($F76,'SKILLED EMPLOYMENT'!$A$1506:$BW$1841,10,FALSE)</f>
        <v>51.3</v>
      </c>
      <c r="K76" s="77">
        <f>VLOOKUP($F76,'SKILLED EMPLOYMENT'!$A$1506:$BW$1841,14,FALSE)</f>
        <v>64.599999999999994</v>
      </c>
      <c r="L76" s="77">
        <f>VLOOKUP($F76,'SKILLED EMPLOYMENT'!$A$1506:$BW$1841,18,FALSE)</f>
        <v>56</v>
      </c>
      <c r="M76" s="77">
        <f>VLOOKUP($F76,'SKILLED EMPLOYMENT'!$A$1506:$BW$1841,22,FALSE)</f>
        <v>46.5</v>
      </c>
      <c r="N76" s="77">
        <f>VLOOKUP($F76,'SKILLED EMPLOYMENT'!$A$1506:$BW$1841,26,FALSE)</f>
        <v>46.3</v>
      </c>
      <c r="O76" s="77">
        <f>VLOOKUP($F76,'SKILLED EMPLOYMENT'!$A$1506:$BW$1841,30,FALSE)</f>
        <v>56.199999999999996</v>
      </c>
      <c r="P76" s="77">
        <f>VLOOKUP($F76,'SKILLED EMPLOYMENT'!$A$1506:$BW$1841,34,FALSE)</f>
        <v>53.8</v>
      </c>
      <c r="Q76" s="77">
        <f>VLOOKUP($F76,'SKILLED EMPLOYMENT'!$A$1506:$BW$1841,38,FALSE)</f>
        <v>60.599999999999994</v>
      </c>
      <c r="R76" s="77">
        <f>VLOOKUP($F76,'SKILLED EMPLOYMENT'!$A$1506:$BW$1841,42,FALSE)</f>
        <v>57.6</v>
      </c>
      <c r="S76" s="77">
        <f>VLOOKUP($F76,'SKILLED EMPLOYMENT'!$A$1506:$BW$1841,46,FALSE)</f>
        <v>65.3</v>
      </c>
      <c r="T76" s="77">
        <f>VLOOKUP($F76,'SKILLED EMPLOYMENT'!$A$1506:$BW$1841,50,FALSE)</f>
        <v>66.3</v>
      </c>
      <c r="U76" s="77">
        <f>VLOOKUP($F76,'SKILLED EMPLOYMENT'!$A$1506:$BW$1841,54,FALSE)</f>
        <v>61.6</v>
      </c>
      <c r="V76" s="77">
        <f>VLOOKUP($F76,'SKILLED EMPLOYMENT'!$A$1506:$BW$1841,58,FALSE)</f>
        <v>59.6</v>
      </c>
      <c r="W76" s="77">
        <f>VLOOKUP($F76,'SKILLED EMPLOYMENT'!$A$1506:$BW$1841,62,FALSE)</f>
        <v>55.099999999999994</v>
      </c>
      <c r="X76" s="77">
        <f>VLOOKUP($F76,'SKILLED EMPLOYMENT'!$A$1506:$BW$1841,66,FALSE)</f>
        <v>51.3</v>
      </c>
      <c r="Y76" s="77">
        <f>VLOOKUP($F76,'SKILLED EMPLOYMENT'!$A$1506:$BW$1841,70,FALSE)</f>
        <v>57.100000000000009</v>
      </c>
      <c r="Z76" s="77">
        <f>VLOOKUP($F76,'SKILLED EMPLOYMENT'!$A$1506:$BW$1841,74,FALSE)</f>
        <v>55.300000000000004</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East Devon to Rural as a Region</v>
      </c>
      <c r="G79" s="122"/>
      <c r="H79" s="123"/>
      <c r="I79" s="74">
        <f>(I76-I77)</f>
        <v>2.5</v>
      </c>
      <c r="J79" s="74">
        <f t="shared" ref="J79:Z79" si="17">(J76-J77)</f>
        <v>-1.6000000000000014</v>
      </c>
      <c r="K79" s="74">
        <f t="shared" si="17"/>
        <v>11.099999999999994</v>
      </c>
      <c r="L79" s="74">
        <f t="shared" si="17"/>
        <v>2</v>
      </c>
      <c r="M79" s="74">
        <f t="shared" si="17"/>
        <v>-7.6000000000000014</v>
      </c>
      <c r="N79" s="74">
        <f t="shared" si="17"/>
        <v>-8.1000000000000014</v>
      </c>
      <c r="O79" s="74">
        <f t="shared" si="17"/>
        <v>0.79999999999999716</v>
      </c>
      <c r="P79" s="74">
        <f t="shared" si="17"/>
        <v>-1.8000000000000043</v>
      </c>
      <c r="Q79" s="74">
        <f t="shared" si="17"/>
        <v>5.1999999999999957</v>
      </c>
      <c r="R79" s="74">
        <f t="shared" si="17"/>
        <v>1.3999999999999986</v>
      </c>
      <c r="S79" s="74">
        <f t="shared" si="17"/>
        <v>9.0999999999999943</v>
      </c>
      <c r="T79" s="74">
        <f t="shared" si="17"/>
        <v>9.5</v>
      </c>
      <c r="U79" s="74">
        <f t="shared" si="17"/>
        <v>5</v>
      </c>
      <c r="V79" s="74">
        <f t="shared" si="17"/>
        <v>2.5</v>
      </c>
      <c r="W79" s="74">
        <f t="shared" si="17"/>
        <v>-2.7000000000000028</v>
      </c>
      <c r="X79" s="74">
        <f t="shared" si="17"/>
        <v>-7.5</v>
      </c>
      <c r="Y79" s="74">
        <f t="shared" si="17"/>
        <v>-1.5999999999999943</v>
      </c>
      <c r="Z79" s="74">
        <f t="shared" si="17"/>
        <v>-3.0999999999999943</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k4pofBFX6iJ8MsdrMv+4pky19opeeo5h5k2ZQ7mnzHLdvJ9LrYPOLySBeix4f6rpRpH/Ny/r0Au48SS5fQKd3A==" saltValue="9/BBOG5AIeeORnsFh2cWSQ=="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2022-06-10T14:14:16Z</cp:lastPrinted>
  <dcterms:created xsi:type="dcterms:W3CDTF">2022-05-30T09:14:22Z</dcterms:created>
  <dcterms:modified xsi:type="dcterms:W3CDTF">2022-08-02T11:16:49Z</dcterms:modified>
</cp:coreProperties>
</file>