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3" documentId="8_{945932BB-AAF7-4880-ADAC-D813C5A42FB2}" xr6:coauthVersionLast="47" xr6:coauthVersionMax="47" xr10:uidLastSave="{C4C32231-FD13-4ADA-8332-D3524E2A3E6E}"/>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<sst xmlns="http://schemas.openxmlformats.org/spreadsheetml/2006/main" count="32859" uniqueCount="1676">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</sst>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Eden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23.93</c:v>
                </c:pt>
                <c:pt idx="1">
                  <c:v>23.65</c:v>
                </c:pt>
                <c:pt idx="2">
                  <c:v>23.73</c:v>
                </c:pt>
                <c:pt idx="3">
                  <c:v>23.11</c:v>
                </c:pt>
                <c:pt idx="4">
                  <c:v>22.77</c:v>
                </c:pt>
                <c:pt idx="5">
                  <c:v>23.26</c:v>
                </c:pt>
                <c:pt idx="6">
                  <c:v>24.6</c:v>
                </c:pt>
                <c:pt idx="7">
                  <c:v>26.13</c:v>
                </c:pt>
                <c:pt idx="8">
                  <c:v>27.08</c:v>
                </c:pt>
                <c:pt idx="9">
                  <c:v>27.57</c:v>
                </c:pt>
                <c:pt idx="10">
                  <c:v>27.87</c:v>
                </c:pt>
                <c:pt idx="11">
                  <c:v>28.33</c:v>
                </c:pt>
                <c:pt idx="12">
                  <c:v>28.99</c:v>
                </c:pt>
                <c:pt idx="13">
                  <c:v>29.41</c:v>
                </c:pt>
                <c:pt idx="14">
                  <c:v>29.76</c:v>
                </c:pt>
                <c:pt idx="15">
                  <c:v>29.81</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Eden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464.1</c:v>
                </c:pt>
                <c:pt idx="1">
                  <c:v>356.6</c:v>
                </c:pt>
                <c:pt idx="2">
                  <c:v>388.1</c:v>
                </c:pt>
                <c:pt idx="3">
                  <c:v>423.5</c:v>
                </c:pt>
                <c:pt idx="4">
                  <c:v>434.2</c:v>
                </c:pt>
                <c:pt idx="5">
                  <c:v>517.6</c:v>
                </c:pt>
                <c:pt idx="6">
                  <c:v>444.8</c:v>
                </c:pt>
                <c:pt idx="7">
                  <c:v>480.7</c:v>
                </c:pt>
                <c:pt idx="8">
                  <c:v>435.6</c:v>
                </c:pt>
                <c:pt idx="9">
                  <c:v>460</c:v>
                </c:pt>
                <c:pt idx="10">
                  <c:v>519.1</c:v>
                </c:pt>
                <c:pt idx="11">
                  <c:v>512.20000000000005</c:v>
                </c:pt>
                <c:pt idx="12">
                  <c:v>516.6</c:v>
                </c:pt>
                <c:pt idx="13">
                  <c:v>559.6</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Eden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78.900000000000006</c:v>
                </c:pt>
                <c:pt idx="1">
                  <c:v>82.6</c:v>
                </c:pt>
                <c:pt idx="2">
                  <c:v>84.2</c:v>
                </c:pt>
                <c:pt idx="3">
                  <c:v>74.2</c:v>
                </c:pt>
                <c:pt idx="4">
                  <c:v>81.599999999999994</c:v>
                </c:pt>
                <c:pt idx="5">
                  <c:v>78.599999999999994</c:v>
                </c:pt>
                <c:pt idx="6">
                  <c:v>74.599999999999994</c:v>
                </c:pt>
                <c:pt idx="7">
                  <c:v>75.599999999999994</c:v>
                </c:pt>
                <c:pt idx="8">
                  <c:v>80.3</c:v>
                </c:pt>
                <c:pt idx="9">
                  <c:v>81.099999999999994</c:v>
                </c:pt>
                <c:pt idx="10">
                  <c:v>83.4</c:v>
                </c:pt>
                <c:pt idx="11">
                  <c:v>85.4</c:v>
                </c:pt>
                <c:pt idx="12">
                  <c:v>87.1</c:v>
                </c:pt>
                <c:pt idx="13">
                  <c:v>81.8</c:v>
                </c:pt>
                <c:pt idx="14">
                  <c:v>82</c:v>
                </c:pt>
                <c:pt idx="15">
                  <c:v>89.2</c:v>
                </c:pt>
                <c:pt idx="16">
                  <c:v>88.2</c:v>
                </c:pt>
                <c:pt idx="17">
                  <c:v>70.8</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Eden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14750</c:v>
                </c:pt>
                <c:pt idx="1">
                  <c:v>15333</c:v>
                </c:pt>
                <c:pt idx="2">
                  <c:v>15768</c:v>
                </c:pt>
                <c:pt idx="3">
                  <c:v>16082</c:v>
                </c:pt>
                <c:pt idx="4">
                  <c:v>16380</c:v>
                </c:pt>
                <c:pt idx="5">
                  <c:v>16937</c:v>
                </c:pt>
                <c:pt idx="6">
                  <c:v>17477</c:v>
                </c:pt>
                <c:pt idx="7">
                  <c:v>17467</c:v>
                </c:pt>
                <c:pt idx="8">
                  <c:v>17988</c:v>
                </c:pt>
                <c:pt idx="9">
                  <c:v>18777</c:v>
                </c:pt>
                <c:pt idx="10">
                  <c:v>19244</c:v>
                </c:pt>
                <c:pt idx="11">
                  <c:v>20174</c:v>
                </c:pt>
                <c:pt idx="12">
                  <c:v>20109</c:v>
                </c:pt>
                <c:pt idx="13">
                  <c:v>20380</c:v>
                </c:pt>
                <c:pt idx="14">
                  <c:v>21782</c:v>
                </c:pt>
                <c:pt idx="15">
                  <c:v>22097</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Eden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29.8</c:v>
                </c:pt>
                <c:pt idx="1">
                  <c:v>24.4</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Eden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19.5</c:v>
                </c:pt>
                <c:pt idx="1">
                  <c:v>16.600000000000001</c:v>
                </c:pt>
                <c:pt idx="2">
                  <c:v>13.6</c:v>
                </c:pt>
                <c:pt idx="3">
                  <c:v>24.9</c:v>
                </c:pt>
                <c:pt idx="4">
                  <c:v>16</c:v>
                </c:pt>
                <c:pt idx="5">
                  <c:v>18.3</c:v>
                </c:pt>
                <c:pt idx="6">
                  <c:v>23.2</c:v>
                </c:pt>
                <c:pt idx="7">
                  <c:v>20.5</c:v>
                </c:pt>
                <c:pt idx="8">
                  <c:v>18</c:v>
                </c:pt>
                <c:pt idx="9">
                  <c:v>16.399999999999999</c:v>
                </c:pt>
                <c:pt idx="10">
                  <c:v>14.6</c:v>
                </c:pt>
                <c:pt idx="11">
                  <c:v>13.4</c:v>
                </c:pt>
                <c:pt idx="12">
                  <c:v>11.9</c:v>
                </c:pt>
                <c:pt idx="13">
                  <c:v>18.2</c:v>
                </c:pt>
                <c:pt idx="14">
                  <c:v>16.3</c:v>
                </c:pt>
                <c:pt idx="15">
                  <c:v>10.8</c:v>
                </c:pt>
                <c:pt idx="16">
                  <c:v>9.9</c:v>
                </c:pt>
                <c:pt idx="17">
                  <c:v>24.4</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Eden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24.5</c:v>
                </c:pt>
                <c:pt idx="1">
                  <c:v>5.1999999999999886</c:v>
                </c:pt>
                <c:pt idx="2">
                  <c:v>9</c:v>
                </c:pt>
                <c:pt idx="3">
                  <c:v>34.899999999999991</c:v>
                </c:pt>
                <c:pt idx="4">
                  <c:v>24.6</c:v>
                </c:pt>
                <c:pt idx="5">
                  <c:v>27.799999999999997</c:v>
                </c:pt>
                <c:pt idx="6">
                  <c:v>-1.9000000000000057</c:v>
                </c:pt>
                <c:pt idx="7">
                  <c:v>45.9</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Eden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0</c:v>
                </c:pt>
                <c:pt idx="1">
                  <c:v>10.369528830109068</c:v>
                </c:pt>
                <c:pt idx="2">
                  <c:v>6.4435179958672792</c:v>
                </c:pt>
                <c:pt idx="3">
                  <c:v>15.799725567921941</c:v>
                </c:pt>
                <c:pt idx="4">
                  <c:v>0</c:v>
                </c:pt>
                <c:pt idx="5">
                  <c:v>5.1578213681170961</c:v>
                </c:pt>
                <c:pt idx="6">
                  <c:v>0</c:v>
                </c:pt>
                <c:pt idx="7">
                  <c:v>0</c:v>
                </c:pt>
                <c:pt idx="8">
                  <c:v>0</c:v>
                </c:pt>
                <c:pt idx="9">
                  <c:v>0</c:v>
                </c:pt>
                <c:pt idx="10">
                  <c:v>0</c:v>
                </c:pt>
                <c:pt idx="11">
                  <c:v>0</c:v>
                </c:pt>
                <c:pt idx="12">
                  <c:v>12.73792093704246</c:v>
                </c:pt>
                <c:pt idx="13">
                  <c:v>10.135853514471354</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Eden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49.3</c:v>
                </c:pt>
                <c:pt idx="1">
                  <c:v>48</c:v>
                </c:pt>
                <c:pt idx="2">
                  <c:v>61.7</c:v>
                </c:pt>
                <c:pt idx="3">
                  <c:v>53.8</c:v>
                </c:pt>
                <c:pt idx="4">
                  <c:v>57.900000000000006</c:v>
                </c:pt>
                <c:pt idx="5">
                  <c:v>65.5</c:v>
                </c:pt>
                <c:pt idx="6">
                  <c:v>53.800000000000004</c:v>
                </c:pt>
                <c:pt idx="7">
                  <c:v>55.599999999999994</c:v>
                </c:pt>
                <c:pt idx="8">
                  <c:v>59.4</c:v>
                </c:pt>
                <c:pt idx="9">
                  <c:v>58.900000000000006</c:v>
                </c:pt>
                <c:pt idx="10">
                  <c:v>53.199999999999996</c:v>
                </c:pt>
                <c:pt idx="11">
                  <c:v>55.4</c:v>
                </c:pt>
                <c:pt idx="12">
                  <c:v>53.599999999999994</c:v>
                </c:pt>
                <c:pt idx="13">
                  <c:v>60.1</c:v>
                </c:pt>
                <c:pt idx="14">
                  <c:v>50.199999999999996</c:v>
                </c:pt>
                <c:pt idx="15">
                  <c:v>59</c:v>
                </c:pt>
                <c:pt idx="16">
                  <c:v>53.2</c:v>
                </c:pt>
                <c:pt idx="17">
                  <c:v>55.900000000000006</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Eden is from 2004 to 2020 consistently greater than the rural and England situations, but drops below both in 2021.</a:t>
          </a: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From 2004 to 2019 the GDHI per head in Eden moves between the rural and England situations.</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Eden drops between 2017 and 2018 taking it below the rural situation.</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From 2004 to 2021 Eden's economic inactivity rate has been generally below that of 'Rural as a Region' and England, but has fluctuated taking it above in some years</a:t>
          </a:r>
          <a:r>
            <a:rPr lang="en-GB" sz="1100">
              <a:latin typeface="Avenir Next LT Pro" panose="020B0504020202020204" pitchFamily="34" charset="0"/>
            </a:rPr>
            <a:t>.</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Eden shows no real pattern of change with some significant fluctuations from year to year.</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Eden is not clear due to data unavailability in a number of years.</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The proportion of employed people in skilled employment in Eden fluctuates above and below the levels seen for 'Rural as a Region' and England.</a:t>
          </a:r>
          <a:endParaRPr lang="en-GB" sz="1100">
            <a:latin typeface="Avenir Next LT Pro" panose="020B0504020202020204" pitchFamily="34" charset="0"/>
          </a:endParaRPr>
        </a:p>
      </xdr:txBody>
    </xdr:sp>
    <xdr:clientData/>
  </xdr:twoCellAnchor>
  <xdr:twoCellAnchor>
    <xdr:from>
      <xdr:col>0</xdr:col>
      <xdr:colOff>571500</xdr:colOff>
      <xdr:row>12</xdr:row>
      <xdr:rowOff>518160</xdr:rowOff>
    </xdr:from>
    <xdr:to>
      <xdr:col>1</xdr:col>
      <xdr:colOff>2552700</xdr:colOff>
      <xdr:row>14</xdr:row>
      <xdr:rowOff>22860</xdr:rowOff>
    </xdr:to>
    <xdr:sp macro="" textlink="">
      <xdr:nvSpPr>
        <xdr:cNvPr id="20" name="TextBox 19">
          <a:extLst>
            <a:ext uri="{FF2B5EF4-FFF2-40B4-BE49-F238E27FC236}">
              <a16:creationId xmlns:a16="http://schemas.microsoft.com/office/drawing/2014/main" id="{29017001-EC5F-476C-BFC8-B892D90A6102}"/>
            </a:ext>
          </a:extLst>
        </xdr:cNvPr>
        <xdr:cNvSpPr txBox="1"/>
      </xdr:nvSpPr>
      <xdr:spPr>
        <a:xfrm>
          <a:off x="571500" y="35052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Eden roughly follows the path of 'Rural as a Region' between 2004 and 2019, albeit with a dip from the rural position between 2007 and 2010.</a:t>
          </a:r>
          <a:endParaRPr lang="en-GB" sz="1100">
            <a:latin typeface="Avenir Next LT Pro" panose="020B0504020202020204" pitchFamily="34" charset="0"/>
          </a:endParaRPr>
        </a:p>
      </xdr:txBody>
    </xdr:sp>
    <xdr:clientData/>
  </xdr:twoCellAnchor>
  <xdr:twoCellAnchor>
    <xdr:from>
      <xdr:col>0</xdr:col>
      <xdr:colOff>609600</xdr:colOff>
      <xdr:row>20</xdr:row>
      <xdr:rowOff>609600</xdr:rowOff>
    </xdr:from>
    <xdr:to>
      <xdr:col>1</xdr:col>
      <xdr:colOff>2590800</xdr:colOff>
      <xdr:row>22</xdr:row>
      <xdr:rowOff>137160</xdr:rowOff>
    </xdr:to>
    <xdr:sp macro="" textlink="">
      <xdr:nvSpPr>
        <xdr:cNvPr id="21" name="TextBox 20">
          <a:extLst>
            <a:ext uri="{FF2B5EF4-FFF2-40B4-BE49-F238E27FC236}">
              <a16:creationId xmlns:a16="http://schemas.microsoft.com/office/drawing/2014/main" id="{A7DA2EED-BDE5-4CF2-9CB5-83EA06E16EAF}"/>
            </a:ext>
          </a:extLst>
        </xdr:cNvPr>
        <xdr:cNvSpPr txBox="1"/>
      </xdr:nvSpPr>
      <xdr:spPr>
        <a:xfrm>
          <a:off x="609600" y="753618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Eden has fluctuated over the years, but generally moves around the path of the rural average situation.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274</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Eden</v>
      </c>
      <c r="G12" s="88" t="str">
        <f>IFERROR(VLOOKUP(F12,GVA!B244:B552,1,FALSE),VLOOKUP(F12,GVA!B6:C230,2,FALSE))</f>
        <v>Eden</v>
      </c>
      <c r="H12" s="89" t="str">
        <f>IF(F12=G12,"",G12)</f>
        <v/>
      </c>
      <c r="I12" s="76">
        <f>IFERROR(VLOOKUP($F12,GVA!$B$7:$S$230,GVA!D$3,FALSE),VLOOKUP($F12,GVA!$B$244:$T$554,GVA!E$3,FALSE))</f>
        <v>23.93</v>
      </c>
      <c r="J12" s="77">
        <f>IFERROR(VLOOKUP($F12,GVA!$B$7:$S$230,GVA!E$3,FALSE),VLOOKUP($F12,GVA!$B$244:$T$554,GVA!F$3,FALSE))</f>
        <v>23.65</v>
      </c>
      <c r="K12" s="77">
        <f>IFERROR(VLOOKUP($F12,GVA!$B$7:$S$230,GVA!F$3,FALSE),VLOOKUP($F12,GVA!$B$244:$T$554,GVA!G$3,FALSE))</f>
        <v>23.73</v>
      </c>
      <c r="L12" s="77">
        <f>IFERROR(VLOOKUP($F12,GVA!$B$7:$S$230,GVA!G$3,FALSE),VLOOKUP($F12,GVA!$B$244:$T$554,GVA!H$3,FALSE))</f>
        <v>23.11</v>
      </c>
      <c r="M12" s="77">
        <f>IFERROR(VLOOKUP($F12,GVA!$B$7:$S$230,GVA!H$3,FALSE),VLOOKUP($F12,GVA!$B$244:$T$554,GVA!I$3,FALSE))</f>
        <v>22.77</v>
      </c>
      <c r="N12" s="77">
        <f>IFERROR(VLOOKUP($F12,GVA!$B$7:$S$230,GVA!I$3,FALSE),VLOOKUP($F12,GVA!$B$244:$T$554,GVA!J$3,FALSE))</f>
        <v>23.26</v>
      </c>
      <c r="O12" s="77">
        <f>IFERROR(VLOOKUP($F12,GVA!$B$7:$S$230,GVA!J$3,FALSE),VLOOKUP($F12,GVA!$B$244:$T$554,GVA!K$3,FALSE))</f>
        <v>24.6</v>
      </c>
      <c r="P12" s="77">
        <f>IFERROR(VLOOKUP($F12,GVA!$B$7:$S$230,GVA!K$3,FALSE),VLOOKUP($F12,GVA!$B$244:$T$554,GVA!L$3,FALSE))</f>
        <v>26.13</v>
      </c>
      <c r="Q12" s="77">
        <f>IFERROR(VLOOKUP($F12,GVA!$B$7:$S$230,GVA!L$3,FALSE),VLOOKUP($F12,GVA!$B$244:$T$554,GVA!M$3,FALSE))</f>
        <v>27.08</v>
      </c>
      <c r="R12" s="77">
        <f>IFERROR(VLOOKUP($F12,GVA!$B$7:$S$230,GVA!M$3,FALSE),VLOOKUP($F12,GVA!$B$244:$T$554,GVA!N$3,FALSE))</f>
        <v>27.57</v>
      </c>
      <c r="S12" s="77">
        <f>IFERROR(VLOOKUP($F12,GVA!$B$7:$S$230,GVA!N$3,FALSE),VLOOKUP($F12,GVA!$B$244:$T$554,GVA!O$3,FALSE))</f>
        <v>27.87</v>
      </c>
      <c r="T12" s="77">
        <f>IFERROR(VLOOKUP($F12,GVA!$B$7:$S$230,GVA!O$3,FALSE),VLOOKUP($F12,GVA!$B$244:$T$554,GVA!P$3,FALSE))</f>
        <v>28.33</v>
      </c>
      <c r="U12" s="77">
        <f>IFERROR(VLOOKUP($F12,GVA!$B$7:$S$230,GVA!P$3,FALSE),VLOOKUP($F12,GVA!$B$244:$T$554,GVA!Q$3,FALSE))</f>
        <v>28.99</v>
      </c>
      <c r="V12" s="77">
        <f>IFERROR(VLOOKUP($F12,GVA!$B$7:$S$230,GVA!Q$3,FALSE),VLOOKUP($F12,GVA!$B$244:$T$554,GVA!R$3,FALSE))</f>
        <v>29.41</v>
      </c>
      <c r="W12" s="77">
        <f>IFERROR(VLOOKUP($F12,GVA!$B$7:$S$230,GVA!R$3,FALSE),VLOOKUP($F12,GVA!$B$244:$T$554,GVA!S$3,FALSE))</f>
        <v>29.76</v>
      </c>
      <c r="X12" s="77">
        <f>IFERROR(VLOOKUP($F12,GVA!$B$7:$S$230,GVA!S$3,FALSE),VLOOKUP($F12,GVA!$B$244:$T$554,GVA!T$3,FALSE))</f>
        <v>29.81</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Eden to Rural as a Region</v>
      </c>
      <c r="G15" s="122"/>
      <c r="H15" s="123"/>
      <c r="I15" s="74">
        <f>100*((I12-I13)/I13)</f>
        <v>1.6562403596697091</v>
      </c>
      <c r="J15" s="74">
        <f t="shared" ref="J15:X15" si="0">100*((J12-J13)/J13)</f>
        <v>0.74649572996327507</v>
      </c>
      <c r="K15" s="74">
        <f t="shared" si="0"/>
        <v>-2.3614641959707234</v>
      </c>
      <c r="L15" s="74">
        <f t="shared" si="0"/>
        <v>-6.9592224075458908</v>
      </c>
      <c r="M15" s="74">
        <f t="shared" si="0"/>
        <v>-9.8740475820245539</v>
      </c>
      <c r="N15" s="74">
        <f t="shared" si="0"/>
        <v>-8.6866911871234862</v>
      </c>
      <c r="O15" s="74">
        <f t="shared" si="0"/>
        <v>-4.6146318495916798</v>
      </c>
      <c r="P15" s="74">
        <f t="shared" si="0"/>
        <v>-0.17055765530978931</v>
      </c>
      <c r="Q15" s="74">
        <f t="shared" si="0"/>
        <v>1.3825377724294505</v>
      </c>
      <c r="R15" s="74">
        <f t="shared" si="0"/>
        <v>1.4575420242616592</v>
      </c>
      <c r="S15" s="74">
        <f t="shared" si="0"/>
        <v>0.88818213551561886</v>
      </c>
      <c r="T15" s="74">
        <f t="shared" si="0"/>
        <v>0.64624181624402466</v>
      </c>
      <c r="U15" s="74">
        <f t="shared" si="0"/>
        <v>0.53048536314511452</v>
      </c>
      <c r="V15" s="74">
        <f t="shared" si="0"/>
        <v>-0.71177380784919364</v>
      </c>
      <c r="W15" s="74">
        <f t="shared" si="0"/>
        <v>-1.5690891408005776</v>
      </c>
      <c r="X15" s="74">
        <f t="shared" si="0"/>
        <v>-2.4264410768769373</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Eden</v>
      </c>
      <c r="G20" s="88"/>
      <c r="H20" s="89"/>
      <c r="I20" s="80">
        <f>IF(VLOOKUP($F20,PAY!$A$11:$AE$349,4,FALSE)="-",#N/A,VLOOKUP($F20,PAY!$A$11:$AE$349,4,FALSE))</f>
        <v>464.1</v>
      </c>
      <c r="J20" s="80">
        <f>IF(VLOOKUP($F20,PAY!$A$11:$AE$349,6,FALSE)="-",#N/A,VLOOKUP($F20,PAY!$A$11:$AE$349,6,FALSE))</f>
        <v>356.6</v>
      </c>
      <c r="K20" s="80">
        <f>IF(VLOOKUP($F20,PAY!$A$11:$AE$349,8,FALSE)="-",#N/A,VLOOKUP($F20,PAY!$A$11:$AE$349,8,FALSE))</f>
        <v>388.1</v>
      </c>
      <c r="L20" s="80">
        <f>IF(VLOOKUP($F20,PAY!$A$11:$AE$349,10,FALSE)="-",#N/A,VLOOKUP($F20,PAY!$A$11:$AE$349,10,FALSE))</f>
        <v>423.5</v>
      </c>
      <c r="M20" s="80">
        <f>IF(VLOOKUP($F20,PAY!$A$11:$AE$349,12,FALSE)="-",#N/A,VLOOKUP($F20,PAY!$A$11:$AE$349,12,FALSE))</f>
        <v>434.2</v>
      </c>
      <c r="N20" s="80">
        <f>IF(VLOOKUP($F20,PAY!$A$11:$AE$349,14,FALSE)="-",#N/A,VLOOKUP($F20,PAY!$A$11:$AE$349,14,FALSE))</f>
        <v>517.6</v>
      </c>
      <c r="O20" s="80">
        <f>IF(VLOOKUP($F20,PAY!$A$11:$AE$349,16,FALSE)="-",#N/A,VLOOKUP($F20,PAY!$A$11:$AE$349,16,FALSE))</f>
        <v>444.8</v>
      </c>
      <c r="P20" s="80">
        <f>IF(VLOOKUP($F20,PAY!$A$11:$AE$349,18,FALSE)="-",#N/A,VLOOKUP($F20,PAY!$A$11:$AE$349,18,FALSE))</f>
        <v>480.7</v>
      </c>
      <c r="Q20" s="80">
        <f>IF(VLOOKUP($F20,PAY!$A$11:$AE$349,20,FALSE)="-",#N/A,VLOOKUP($F20,PAY!$A$11:$AE$349,20,FALSE))</f>
        <v>435.6</v>
      </c>
      <c r="R20" s="80">
        <f>IF(VLOOKUP($F20,PAY!$A$11:$AE$349,22,FALSE)="-",#N/A,VLOOKUP($F20,PAY!$A$11:$AE$349,22,FALSE))</f>
        <v>460</v>
      </c>
      <c r="S20" s="80">
        <f>IF(VLOOKUP($F20,PAY!$A$11:$AE$349,24,FALSE)="-",#N/A,VLOOKUP($F20,PAY!$A$11:$AE$349,24,FALSE))</f>
        <v>519.1</v>
      </c>
      <c r="T20" s="80">
        <f>IF(VLOOKUP($F20,PAY!$A$11:$AE$349,26,FALSE)="-",#N/A,VLOOKUP($F20,PAY!$A$11:$AE$349,26,FALSE))</f>
        <v>512.20000000000005</v>
      </c>
      <c r="U20" s="80">
        <f>IF(VLOOKUP($F20,PAY!$A$11:$AE$349,28,FALSE)="-",#N/A,VLOOKUP($F20,PAY!$A$11:$AE$349,28,FALSE))</f>
        <v>516.6</v>
      </c>
      <c r="V20" s="80">
        <f>IF(VLOOKUP($F20,PAY!$A$11:$AE$349,30,FALSE)="-",#N/A,VLOOKUP($F20,PAY!$A$11:$AE$349,30,FALSE))</f>
        <v>559.6</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Eden to Rural as a Region</v>
      </c>
      <c r="G23" s="122"/>
      <c r="H23" s="123"/>
      <c r="I23" s="74">
        <f>100*((I20-I21)/I21)</f>
        <v>7.1843280789559927</v>
      </c>
      <c r="J23" s="74">
        <f t="shared" ref="J23:V23" si="2">100*((J20-J21)/J21)</f>
        <v>-18.384162041540307</v>
      </c>
      <c r="K23" s="74">
        <f t="shared" si="2"/>
        <v>-13.392314884649842</v>
      </c>
      <c r="L23" s="74">
        <f t="shared" si="2"/>
        <v>-6.0252909981573683</v>
      </c>
      <c r="M23" s="74">
        <f t="shared" si="2"/>
        <v>-4.6223744723920044</v>
      </c>
      <c r="N23" s="74">
        <f t="shared" si="2"/>
        <v>11.751105475176692</v>
      </c>
      <c r="O23" s="74">
        <f t="shared" si="2"/>
        <v>-5.523022901912702</v>
      </c>
      <c r="P23" s="74">
        <f t="shared" si="2"/>
        <v>1.2380401429984289</v>
      </c>
      <c r="Q23" s="74">
        <f t="shared" si="2"/>
        <v>-11.008014150833617</v>
      </c>
      <c r="R23" s="74">
        <f t="shared" si="2"/>
        <v>-8.7404728720131306</v>
      </c>
      <c r="S23" s="74">
        <f t="shared" si="2"/>
        <v>0.90866204077957102</v>
      </c>
      <c r="T23" s="74">
        <f t="shared" si="2"/>
        <v>-4.0282663442685305</v>
      </c>
      <c r="U23" s="74">
        <f t="shared" si="2"/>
        <v>-2.7206933321232878</v>
      </c>
      <c r="V23" s="74">
        <f t="shared" si="2"/>
        <v>-0.82484396719417086</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Eden</v>
      </c>
      <c r="G28" s="88"/>
      <c r="H28" s="89"/>
      <c r="I28" s="76">
        <f>VLOOKUP($F28,EMPLOYMENT!$A$6:$BW$345,6,FALSE)</f>
        <v>78.900000000000006</v>
      </c>
      <c r="J28" s="77">
        <f>VLOOKUP($F28,EMPLOYMENT!$A$6:$BW$345,10,FALSE)</f>
        <v>82.6</v>
      </c>
      <c r="K28" s="77">
        <f>VLOOKUP($F28,EMPLOYMENT!$A$6:$BW$345,14,FALSE)</f>
        <v>84.2</v>
      </c>
      <c r="L28" s="77">
        <f>VLOOKUP($F28,EMPLOYMENT!$A$6:$BW$345,18,FALSE)</f>
        <v>74.2</v>
      </c>
      <c r="M28" s="77">
        <f>VLOOKUP($F28,EMPLOYMENT!$A$6:$BW$345,22,FALSE)</f>
        <v>81.599999999999994</v>
      </c>
      <c r="N28" s="77">
        <f>VLOOKUP($F28,EMPLOYMENT!$A$6:$BW$345,26,FALSE)</f>
        <v>78.599999999999994</v>
      </c>
      <c r="O28" s="77">
        <f>VLOOKUP($F28,EMPLOYMENT!$A$6:$BW$345,30,FALSE)</f>
        <v>74.599999999999994</v>
      </c>
      <c r="P28" s="77">
        <f>VLOOKUP($F28,EMPLOYMENT!$A$6:$BW$345,34,FALSE)</f>
        <v>75.599999999999994</v>
      </c>
      <c r="Q28" s="77">
        <f>VLOOKUP($F28,EMPLOYMENT!$A$6:$BW$345,38,FALSE)</f>
        <v>80.3</v>
      </c>
      <c r="R28" s="77">
        <f>VLOOKUP($F28,EMPLOYMENT!$A$6:$BW$345,42,FALSE)</f>
        <v>81.099999999999994</v>
      </c>
      <c r="S28" s="77">
        <f>VLOOKUP($F28,EMPLOYMENT!$A$6:$BW$345,46,FALSE)</f>
        <v>83.4</v>
      </c>
      <c r="T28" s="77">
        <f>VLOOKUP($F28,EMPLOYMENT!$A$6:$BW$345,50,FALSE)</f>
        <v>85.4</v>
      </c>
      <c r="U28" s="77">
        <f>VLOOKUP($F28,EMPLOYMENT!$A$6:$BW$345,54,FALSE)</f>
        <v>87.1</v>
      </c>
      <c r="V28" s="77">
        <f>VLOOKUP($F28,EMPLOYMENT!$A$6:$BW$345,58,FALSE)</f>
        <v>81.8</v>
      </c>
      <c r="W28" s="77">
        <f>VLOOKUP($F28,EMPLOYMENT!$A$6:$BW$345,62,FALSE)</f>
        <v>82</v>
      </c>
      <c r="X28" s="77">
        <f>VLOOKUP($F28,EMPLOYMENT!$A$6:$BW$345,66,FALSE)</f>
        <v>89.2</v>
      </c>
      <c r="Y28" s="77">
        <f>VLOOKUP($F28,EMPLOYMENT!$A$6:$BW$345,70,FALSE)</f>
        <v>88.2</v>
      </c>
      <c r="Z28" s="77">
        <f>VLOOKUP($F28,EMPLOYMENT!$A$6:$BW$345,74,FALSE)</f>
        <v>70.8</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Eden to Rural as a Region</v>
      </c>
      <c r="G31" s="122"/>
      <c r="H31" s="123"/>
      <c r="I31" s="74">
        <f>(I28-I29)</f>
        <v>2.7886580805982675</v>
      </c>
      <c r="J31" s="74">
        <f t="shared" ref="J31:Z31" si="4">(J28-J29)</f>
        <v>6.2870245333170374</v>
      </c>
      <c r="K31" s="74">
        <f t="shared" si="4"/>
        <v>8.3268111005132397</v>
      </c>
      <c r="L31" s="74">
        <f t="shared" si="4"/>
        <v>-1.4404683026278349</v>
      </c>
      <c r="M31" s="74">
        <f t="shared" si="4"/>
        <v>5.8644756266682521</v>
      </c>
      <c r="N31" s="74">
        <f t="shared" si="4"/>
        <v>4.0904601571268131</v>
      </c>
      <c r="O31" s="74">
        <f t="shared" si="4"/>
        <v>1.0528668610301253</v>
      </c>
      <c r="P31" s="74">
        <f t="shared" si="4"/>
        <v>1.8657045967223809</v>
      </c>
      <c r="Q31" s="74">
        <f t="shared" si="4"/>
        <v>6.2668425245374237</v>
      </c>
      <c r="R31" s="74">
        <f t="shared" si="4"/>
        <v>6.3555250700997874</v>
      </c>
      <c r="S31" s="74">
        <f t="shared" si="4"/>
        <v>7.2911396599243972</v>
      </c>
      <c r="T31" s="74">
        <f t="shared" si="4"/>
        <v>8.2094680243909863</v>
      </c>
      <c r="U31" s="74">
        <f t="shared" si="4"/>
        <v>10.128367518291952</v>
      </c>
      <c r="V31" s="74">
        <f t="shared" si="4"/>
        <v>3.7672131147540995</v>
      </c>
      <c r="W31" s="74">
        <f t="shared" si="4"/>
        <v>3.951843106585855</v>
      </c>
      <c r="X31" s="74">
        <f t="shared" si="4"/>
        <v>10.608700621043297</v>
      </c>
      <c r="Y31" s="74">
        <f t="shared" si="4"/>
        <v>11.185653703870798</v>
      </c>
      <c r="Z31" s="74">
        <f t="shared" si="4"/>
        <v>-5.3557580778790452</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Eden</v>
      </c>
      <c r="G36" s="88" t="str">
        <f>IFERROR(VLOOKUP(F36,GDHI!B338:C574,2,FALSE),VLOOKUP(F36,GDHI!C3:C336,1,FALSE))</f>
        <v>Eden</v>
      </c>
      <c r="H36" s="89" t="str">
        <f>IF(F36=G36,"",G36)</f>
        <v/>
      </c>
      <c r="I36" s="83">
        <f>IFERROR(VLOOKUP($F36,GDHI!$B$338:$U$574,GDHI!G$578,FALSE),VLOOKUP($F36,GDHI!$C$3:$U$336,GDHI!F$578,FALSE))</f>
        <v>14750</v>
      </c>
      <c r="J36" s="84">
        <f>IFERROR(VLOOKUP($F36,GDHI!$B$338:$U$574,GDHI!H$578,FALSE),VLOOKUP($F36,GDHI!$C$3:$U$336,GDHI!G$578,FALSE))</f>
        <v>15333</v>
      </c>
      <c r="K36" s="84">
        <f>IFERROR(VLOOKUP($F36,GDHI!$B$338:$U$574,GDHI!I$578,FALSE),VLOOKUP($F36,GDHI!$C$3:$U$336,GDHI!H$578,FALSE))</f>
        <v>15768</v>
      </c>
      <c r="L36" s="84">
        <f>IFERROR(VLOOKUP($F36,GDHI!$B$338:$U$574,GDHI!J$578,FALSE),VLOOKUP($F36,GDHI!$C$3:$U$336,GDHI!I$578,FALSE))</f>
        <v>16082</v>
      </c>
      <c r="M36" s="84">
        <f>IFERROR(VLOOKUP($F36,GDHI!$B$338:$U$574,GDHI!K$578,FALSE),VLOOKUP($F36,GDHI!$C$3:$U$336,GDHI!J$578,FALSE))</f>
        <v>16380</v>
      </c>
      <c r="N36" s="84">
        <f>IFERROR(VLOOKUP($F36,GDHI!$B$338:$U$574,GDHI!L$578,FALSE),VLOOKUP($F36,GDHI!$C$3:$U$336,GDHI!K$578,FALSE))</f>
        <v>16937</v>
      </c>
      <c r="O36" s="84">
        <f>IFERROR(VLOOKUP($F36,GDHI!$B$338:$U$574,GDHI!M$578,FALSE),VLOOKUP($F36,GDHI!$C$3:$U$336,GDHI!L$578,FALSE))</f>
        <v>17477</v>
      </c>
      <c r="P36" s="84">
        <f>IFERROR(VLOOKUP($F36,GDHI!$B$338:$U$574,GDHI!N$578,FALSE),VLOOKUP($F36,GDHI!$C$3:$U$336,GDHI!M$578,FALSE))</f>
        <v>17467</v>
      </c>
      <c r="Q36" s="84">
        <f>IFERROR(VLOOKUP($F36,GDHI!$B$338:$U$574,GDHI!O$578,FALSE),VLOOKUP($F36,GDHI!$C$3:$U$336,GDHI!N$578,FALSE))</f>
        <v>17988</v>
      </c>
      <c r="R36" s="84">
        <f>IFERROR(VLOOKUP($F36,GDHI!$B$338:$U$574,GDHI!P$578,FALSE),VLOOKUP($F36,GDHI!$C$3:$U$336,GDHI!O$578,FALSE))</f>
        <v>18777</v>
      </c>
      <c r="S36" s="84">
        <f>IFERROR(VLOOKUP($F36,GDHI!$B$338:$U$574,GDHI!Q$578,FALSE),VLOOKUP($F36,GDHI!$C$3:$U$336,GDHI!P$578,FALSE))</f>
        <v>19244</v>
      </c>
      <c r="T36" s="84">
        <f>IFERROR(VLOOKUP($F36,GDHI!$B$338:$U$574,GDHI!R$578,FALSE),VLOOKUP($F36,GDHI!$C$3:$U$336,GDHI!Q$578,FALSE))</f>
        <v>20174</v>
      </c>
      <c r="U36" s="84">
        <f>IFERROR(VLOOKUP($F36,GDHI!$B$338:$U$574,GDHI!S$578,FALSE),VLOOKUP($F36,GDHI!$C$3:$U$336,GDHI!R$578,FALSE))</f>
        <v>20109</v>
      </c>
      <c r="V36" s="84">
        <f>IFERROR(VLOOKUP($F36,GDHI!$B$338:$U$574,GDHI!T$578,FALSE),VLOOKUP($F36,GDHI!$C$3:$U$336,GDHI!S$578,FALSE))</f>
        <v>20380</v>
      </c>
      <c r="W36" s="84">
        <f>IFERROR(VLOOKUP($F36,GDHI!$B$338:$U$574,GDHI!U$578,FALSE),VLOOKUP($F36,GDHI!$C$3:$U$336,GDHI!T$578,FALSE))</f>
        <v>21782</v>
      </c>
      <c r="X36" s="84">
        <f>IFERROR(VLOOKUP($F36,GDHI!$B$338:$U$574,GDHI!V$578,FALSE),VLOOKUP($F36,GDHI!$C$3:$U$336,GDHI!U$578,FALSE))</f>
        <v>22097</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Eden to Rural as a Region</v>
      </c>
      <c r="G39" s="122"/>
      <c r="H39" s="123"/>
      <c r="I39" s="74">
        <f>100*((I36-I37)/I37)</f>
        <v>0.27533226826200752</v>
      </c>
      <c r="J39" s="74">
        <f t="shared" ref="J39:X39" si="6">100*((J36-J37)/J37)</f>
        <v>-5.5017494632113979E-2</v>
      </c>
      <c r="K39" s="74">
        <f t="shared" si="6"/>
        <v>-0.98076375323238896</v>
      </c>
      <c r="L39" s="74">
        <f t="shared" si="6"/>
        <v>-2.9344117057440204</v>
      </c>
      <c r="M39" s="74">
        <f t="shared" si="6"/>
        <v>-4.0048893375742844</v>
      </c>
      <c r="N39" s="74">
        <f t="shared" si="6"/>
        <v>-2.0581644700383173</v>
      </c>
      <c r="O39" s="74">
        <f t="shared" si="6"/>
        <v>-0.17658678216997764</v>
      </c>
      <c r="P39" s="74">
        <f t="shared" si="6"/>
        <v>-1.8710490341117294</v>
      </c>
      <c r="Q39" s="74">
        <f t="shared" si="6"/>
        <v>-2.0600554585441468</v>
      </c>
      <c r="R39" s="74">
        <f t="shared" si="6"/>
        <v>-0.51362075827656506</v>
      </c>
      <c r="S39" s="74">
        <f t="shared" si="6"/>
        <v>-0.78384942431166638</v>
      </c>
      <c r="T39" s="74">
        <f t="shared" si="6"/>
        <v>-1.3899314635653535</v>
      </c>
      <c r="U39" s="74">
        <f t="shared" si="6"/>
        <v>-2.5013679716847244</v>
      </c>
      <c r="V39" s="74">
        <f t="shared" si="6"/>
        <v>-2.7926280207665553</v>
      </c>
      <c r="W39" s="74">
        <f t="shared" si="6"/>
        <v>-0.27415657338076721</v>
      </c>
      <c r="X39" s="74">
        <f t="shared" si="6"/>
        <v>-0.75513120825806235</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Eden</v>
      </c>
      <c r="G44" s="88"/>
      <c r="H44" s="89"/>
      <c r="I44" s="76">
        <f>VLOOKUP($F44,'LOW PAID'!$A$9:$N$444,6,FALSE)</f>
        <v>29.8</v>
      </c>
      <c r="J44" s="77">
        <f>VLOOKUP($F44,'LOW PAID'!$P$9:$W$444,6,FALSE)</f>
        <v>24.4</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Eden to Rural as a Region</v>
      </c>
      <c r="G47" s="122"/>
      <c r="H47" s="123"/>
      <c r="I47" s="74">
        <f>(I44-I45)</f>
        <v>4.6061253217868838</v>
      </c>
      <c r="J47" s="74">
        <f>(J44-J45)</f>
        <v>-1.2861165090300553</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Eden</v>
      </c>
      <c r="G52" s="88"/>
      <c r="H52" s="89"/>
      <c r="I52" s="76">
        <f>VLOOKUP($F52,INACTIVITY!$A$6:$BW$345,6,FALSE)</f>
        <v>19.5</v>
      </c>
      <c r="J52" s="77">
        <f>VLOOKUP($F52,INACTIVITY!$A$6:$BW$345,10,FALSE)</f>
        <v>16.600000000000001</v>
      </c>
      <c r="K52" s="77">
        <f>VLOOKUP($F52,INACTIVITY!$A$6:$BW$345,14,FALSE)</f>
        <v>13.6</v>
      </c>
      <c r="L52" s="77">
        <f>VLOOKUP($F52,INACTIVITY!$A$6:$BW$345,18,FALSE)</f>
        <v>24.9</v>
      </c>
      <c r="M52" s="77">
        <f>VLOOKUP($F52,INACTIVITY!$A$6:$BW$345,22,FALSE)</f>
        <v>16</v>
      </c>
      <c r="N52" s="77">
        <f>VLOOKUP($F52,INACTIVITY!$A$6:$BW$345,26,FALSE)</f>
        <v>18.3</v>
      </c>
      <c r="O52" s="77">
        <f>VLOOKUP($F52,INACTIVITY!$A$6:$BW$345,30,FALSE)</f>
        <v>23.2</v>
      </c>
      <c r="P52" s="77">
        <f>VLOOKUP($F52,INACTIVITY!$A$6:$BW$345,34,FALSE)</f>
        <v>20.5</v>
      </c>
      <c r="Q52" s="77">
        <f>VLOOKUP($F52,INACTIVITY!$A$6:$BW$345,38,FALSE)</f>
        <v>18</v>
      </c>
      <c r="R52" s="77">
        <f>VLOOKUP($F52,INACTIVITY!$A$6:$BW$345,42,FALSE)</f>
        <v>16.399999999999999</v>
      </c>
      <c r="S52" s="77">
        <f>VLOOKUP($F52,INACTIVITY!$A$6:$BW$345,46,FALSE)</f>
        <v>14.6</v>
      </c>
      <c r="T52" s="77">
        <f>VLOOKUP($F52,INACTIVITY!$A$6:$BW$345,50,FALSE)</f>
        <v>13.4</v>
      </c>
      <c r="U52" s="77">
        <f>VLOOKUP($F52,INACTIVITY!$A$6:$BW$345,54,FALSE)</f>
        <v>11.9</v>
      </c>
      <c r="V52" s="77">
        <f>VLOOKUP($F52,INACTIVITY!$A$6:$BW$345,58,FALSE)</f>
        <v>18.2</v>
      </c>
      <c r="W52" s="77">
        <f>VLOOKUP($F52,INACTIVITY!$A$6:$BW$345,62,FALSE)</f>
        <v>16.3</v>
      </c>
      <c r="X52" s="77">
        <f>VLOOKUP($F52,INACTIVITY!$A$6:$BW$345,66,FALSE)</f>
        <v>10.8</v>
      </c>
      <c r="Y52" s="77">
        <f>VLOOKUP($F52,INACTIVITY!$A$6:$BW$345,70,FALSE)</f>
        <v>9.9</v>
      </c>
      <c r="Z52" s="77">
        <f>VLOOKUP($F52,INACTIVITY!$A$6:$BW$345,74,FALSE)</f>
        <v>24.4</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Eden to Rural as a Region</v>
      </c>
      <c r="G55" s="122"/>
      <c r="H55" s="123"/>
      <c r="I55" s="74">
        <f>(I52-I53)</f>
        <v>-1.8956445716102373</v>
      </c>
      <c r="J55" s="74">
        <f t="shared" ref="J55:Z55" si="10">(J52-J53)</f>
        <v>-4.4085227272727252</v>
      </c>
      <c r="K55" s="74">
        <f t="shared" si="10"/>
        <v>-7.2624653934587773</v>
      </c>
      <c r="L55" s="74">
        <f t="shared" si="10"/>
        <v>3.5859346684633593</v>
      </c>
      <c r="M55" s="74">
        <f t="shared" si="10"/>
        <v>-4.8350023108920048</v>
      </c>
      <c r="N55" s="74">
        <f t="shared" si="10"/>
        <v>-2.6331437579204398</v>
      </c>
      <c r="O55" s="74">
        <f t="shared" si="10"/>
        <v>1.5080628724948255</v>
      </c>
      <c r="P55" s="74">
        <f t="shared" si="10"/>
        <v>-0.99424578075344883</v>
      </c>
      <c r="Q55" s="74">
        <f t="shared" si="10"/>
        <v>-3.1825487944890938</v>
      </c>
      <c r="R55" s="74">
        <f t="shared" si="10"/>
        <v>-4.3745930974387726</v>
      </c>
      <c r="S55" s="74">
        <f t="shared" si="10"/>
        <v>-5.6732104559724004</v>
      </c>
      <c r="T55" s="74">
        <f t="shared" si="10"/>
        <v>-6.2961946834069575</v>
      </c>
      <c r="U55" s="74">
        <f t="shared" si="10"/>
        <v>-7.9524293470694705</v>
      </c>
      <c r="V55" s="74">
        <f t="shared" si="10"/>
        <v>-1.0532773342803772</v>
      </c>
      <c r="W55" s="74">
        <f t="shared" si="10"/>
        <v>-2.8769560091828481</v>
      </c>
      <c r="X55" s="74">
        <f t="shared" si="10"/>
        <v>-8.0520649493649294</v>
      </c>
      <c r="Y55" s="74">
        <f t="shared" si="10"/>
        <v>-9.8725827218714617</v>
      </c>
      <c r="Z55" s="74">
        <f t="shared" si="10"/>
        <v>3.3148202243699281</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Eden</v>
      </c>
      <c r="G60" s="88"/>
      <c r="H60" s="89"/>
      <c r="I60" s="76">
        <f>VLOOKUP($F60,DISABILITY!$A$718:$I$1052,DISABILITY!B$1053,FALSE)</f>
        <v>24.5</v>
      </c>
      <c r="J60" s="77">
        <f>VLOOKUP($F60,DISABILITY!$A$718:$I$1052,DISABILITY!C$1053,FALSE)</f>
        <v>5.1999999999999886</v>
      </c>
      <c r="K60" s="77">
        <f>VLOOKUP($F60,DISABILITY!$A$718:$I$1052,DISABILITY!D$1053,FALSE)</f>
        <v>9</v>
      </c>
      <c r="L60" s="77">
        <f>VLOOKUP($F60,DISABILITY!$A$718:$I$1052,DISABILITY!E$1053,FALSE)</f>
        <v>34.899999999999991</v>
      </c>
      <c r="M60" s="77">
        <f>VLOOKUP($F60,DISABILITY!$A$718:$I$1052,DISABILITY!F$1053,FALSE)</f>
        <v>24.6</v>
      </c>
      <c r="N60" s="77">
        <f>VLOOKUP($F60,DISABILITY!$A$718:$I$1052,DISABILITY!G$1053,FALSE)</f>
        <v>27.799999999999997</v>
      </c>
      <c r="O60" s="77">
        <f>VLOOKUP($F60,DISABILITY!$A$718:$I$1052,DISABILITY!H$1053,FALSE)</f>
        <v>-1.9000000000000057</v>
      </c>
      <c r="P60" s="77">
        <f>VLOOKUP($F60,DISABILITY!$A$718:$I$1052,DISABILITY!I$1053,FALSE)</f>
        <v>45.9</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Eden to Rural as a Region</v>
      </c>
      <c r="G63" s="122"/>
      <c r="H63" s="123"/>
      <c r="I63" s="74">
        <f>(I60-I61)</f>
        <v>-2.9201565406472483</v>
      </c>
      <c r="J63" s="74">
        <f t="shared" ref="J63:P63" si="12">(J60-J61)</f>
        <v>-22.119044407051199</v>
      </c>
      <c r="K63" s="74">
        <f t="shared" si="12"/>
        <v>-19.119128361498205</v>
      </c>
      <c r="L63" s="74">
        <f t="shared" si="12"/>
        <v>8.9090654610033155</v>
      </c>
      <c r="M63" s="74">
        <f t="shared" si="12"/>
        <v>-0.8752258186661166</v>
      </c>
      <c r="N63" s="74">
        <f t="shared" si="12"/>
        <v>2.2687523145580144</v>
      </c>
      <c r="O63" s="74">
        <f t="shared" si="12"/>
        <v>-25.697222287996951</v>
      </c>
      <c r="P63" s="74">
        <f t="shared" si="12"/>
        <v>20.545822069657824</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Eden</v>
      </c>
      <c r="G68" s="88"/>
      <c r="H68" s="89"/>
      <c r="I68" s="76" t="str">
        <f>VLOOKUP($F68,'WORKLESS HOUSEHOLDS'!$DW$4:$EC$397,7,FALSE)</f>
        <v>*</v>
      </c>
      <c r="J68" s="77">
        <f>VLOOKUP($F68,'WORKLESS HOUSEHOLDS'!$DN$4:$DT$397,7,FALSE)</f>
        <v>10.369528830109068</v>
      </c>
      <c r="K68" s="77">
        <f>VLOOKUP($F68,'WORKLESS HOUSEHOLDS'!$DE$4:$DK$397,7,FALSE)</f>
        <v>6.4435179958672792</v>
      </c>
      <c r="L68" s="77">
        <f>VLOOKUP($F68,'WORKLESS HOUSEHOLDS'!$CV$4:$DB$397,7,FALSE)</f>
        <v>15.799725567921941</v>
      </c>
      <c r="M68" s="77" t="str">
        <f>VLOOKUP($F68,'WORKLESS HOUSEHOLDS'!$CM$4:$CS$397,7,FALSE)</f>
        <v>*</v>
      </c>
      <c r="N68" s="77">
        <f>VLOOKUP($F68,'WORKLESS HOUSEHOLDS'!$CD$4:$CJ$397,7,FALSE)</f>
        <v>5.1578213681170961</v>
      </c>
      <c r="O68" s="77" t="str">
        <f>VLOOKUP($F68,'WORKLESS HOUSEHOLDS'!$BU$4:$CA$397,7,FALSE)</f>
        <v>#</v>
      </c>
      <c r="P68" s="77" t="str">
        <f>VLOOKUP($F68,'WORKLESS HOUSEHOLDS'!$BL$4:$BR$397,7,FALSE)</f>
        <v>#</v>
      </c>
      <c r="Q68" s="77" t="str">
        <f>VLOOKUP($F68,'WORKLESS HOUSEHOLDS'!$BC$4:$BI$397,7,FALSE)</f>
        <v>#</v>
      </c>
      <c r="R68" s="77" t="str">
        <f>VLOOKUP($F68,'WORKLESS HOUSEHOLDS'!$AT$4:$AZ$397,7,FALSE)</f>
        <v>#</v>
      </c>
      <c r="S68" s="77" t="str">
        <f>VLOOKUP($F68,'WORKLESS HOUSEHOLDS'!$AK$4:$AQ$397,7,FALSE)</f>
        <v>#</v>
      </c>
      <c r="T68" s="77" t="str">
        <f>VLOOKUP($F68,'WORKLESS HOUSEHOLDS'!$AB$4:$AH$397,7,FALSE)</f>
        <v>#</v>
      </c>
      <c r="U68" s="77">
        <f>VLOOKUP($F68,'WORKLESS HOUSEHOLDS'!$S$4:$Y$397,7,FALSE)</f>
        <v>12.73792093704246</v>
      </c>
      <c r="V68" s="77">
        <f>VLOOKUP($F68,'WORKLESS HOUSEHOLDS'!$J$4:$P$397,7,FALSE)</f>
        <v>10.135853514471354</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Eden to Rural as a Region</v>
      </c>
      <c r="G71" s="122"/>
      <c r="H71" s="123"/>
      <c r="I71" s="74" t="e">
        <f>(I68-I69)</f>
        <v>#VALUE!</v>
      </c>
      <c r="J71" s="74">
        <f t="shared" ref="J71:W71" si="14">(J68-J69)</f>
        <v>-0.54162600736595579</v>
      </c>
      <c r="K71" s="74">
        <f t="shared" si="14"/>
        <v>-3.8497277332885647</v>
      </c>
      <c r="L71" s="74">
        <f t="shared" si="14"/>
        <v>4.8337189065922086</v>
      </c>
      <c r="M71" s="74" t="e">
        <f t="shared" si="14"/>
        <v>#VALUE!</v>
      </c>
      <c r="N71" s="74">
        <f t="shared" si="14"/>
        <v>-6.743278311138285</v>
      </c>
      <c r="O71" s="74" t="e">
        <f t="shared" si="14"/>
        <v>#VALUE!</v>
      </c>
      <c r="P71" s="74" t="e">
        <f t="shared" si="14"/>
        <v>#VALUE!</v>
      </c>
      <c r="Q71" s="74" t="e">
        <f t="shared" si="14"/>
        <v>#VALUE!</v>
      </c>
      <c r="R71" s="74" t="e">
        <f t="shared" si="14"/>
        <v>#VALUE!</v>
      </c>
      <c r="S71" s="74" t="e">
        <f t="shared" si="14"/>
        <v>#VALUE!</v>
      </c>
      <c r="T71" s="74" t="e">
        <f t="shared" si="14"/>
        <v>#VALUE!</v>
      </c>
      <c r="U71" s="74">
        <f t="shared" si="14"/>
        <v>1.9758707723629847</v>
      </c>
      <c r="V71" s="74">
        <f t="shared" si="14"/>
        <v>0.19698503793170552</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Eden</v>
      </c>
      <c r="G76" s="88"/>
      <c r="H76" s="89"/>
      <c r="I76" s="76">
        <f>VLOOKUP($F76,'SKILLED EMPLOYMENT'!$A$1506:$BW$1841,6,FALSE)</f>
        <v>49.3</v>
      </c>
      <c r="J76" s="77">
        <f>VLOOKUP($F76,'SKILLED EMPLOYMENT'!$A$1506:$BW$1841,10,FALSE)</f>
        <v>48</v>
      </c>
      <c r="K76" s="77">
        <f>VLOOKUP($F76,'SKILLED EMPLOYMENT'!$A$1506:$BW$1841,14,FALSE)</f>
        <v>61.7</v>
      </c>
      <c r="L76" s="77">
        <f>VLOOKUP($F76,'SKILLED EMPLOYMENT'!$A$1506:$BW$1841,18,FALSE)</f>
        <v>53.8</v>
      </c>
      <c r="M76" s="77">
        <f>VLOOKUP($F76,'SKILLED EMPLOYMENT'!$A$1506:$BW$1841,22,FALSE)</f>
        <v>57.900000000000006</v>
      </c>
      <c r="N76" s="77">
        <f>VLOOKUP($F76,'SKILLED EMPLOYMENT'!$A$1506:$BW$1841,26,FALSE)</f>
        <v>65.5</v>
      </c>
      <c r="O76" s="77">
        <f>VLOOKUP($F76,'SKILLED EMPLOYMENT'!$A$1506:$BW$1841,30,FALSE)</f>
        <v>53.800000000000004</v>
      </c>
      <c r="P76" s="77">
        <f>VLOOKUP($F76,'SKILLED EMPLOYMENT'!$A$1506:$BW$1841,34,FALSE)</f>
        <v>55.599999999999994</v>
      </c>
      <c r="Q76" s="77">
        <f>VLOOKUP($F76,'SKILLED EMPLOYMENT'!$A$1506:$BW$1841,38,FALSE)</f>
        <v>59.4</v>
      </c>
      <c r="R76" s="77">
        <f>VLOOKUP($F76,'SKILLED EMPLOYMENT'!$A$1506:$BW$1841,42,FALSE)</f>
        <v>58.900000000000006</v>
      </c>
      <c r="S76" s="77">
        <f>VLOOKUP($F76,'SKILLED EMPLOYMENT'!$A$1506:$BW$1841,46,FALSE)</f>
        <v>53.199999999999996</v>
      </c>
      <c r="T76" s="77">
        <f>VLOOKUP($F76,'SKILLED EMPLOYMENT'!$A$1506:$BW$1841,50,FALSE)</f>
        <v>55.4</v>
      </c>
      <c r="U76" s="77">
        <f>VLOOKUP($F76,'SKILLED EMPLOYMENT'!$A$1506:$BW$1841,54,FALSE)</f>
        <v>53.599999999999994</v>
      </c>
      <c r="V76" s="77">
        <f>VLOOKUP($F76,'SKILLED EMPLOYMENT'!$A$1506:$BW$1841,58,FALSE)</f>
        <v>60.1</v>
      </c>
      <c r="W76" s="77">
        <f>VLOOKUP($F76,'SKILLED EMPLOYMENT'!$A$1506:$BW$1841,62,FALSE)</f>
        <v>50.199999999999996</v>
      </c>
      <c r="X76" s="77">
        <f>VLOOKUP($F76,'SKILLED EMPLOYMENT'!$A$1506:$BW$1841,66,FALSE)</f>
        <v>59</v>
      </c>
      <c r="Y76" s="77">
        <f>VLOOKUP($F76,'SKILLED EMPLOYMENT'!$A$1506:$BW$1841,70,FALSE)</f>
        <v>53.2</v>
      </c>
      <c r="Z76" s="77">
        <f>VLOOKUP($F76,'SKILLED EMPLOYMENT'!$A$1506:$BW$1841,74,FALSE)</f>
        <v>55.900000000000006</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Eden to Rural as a Region</v>
      </c>
      <c r="G79" s="122"/>
      <c r="H79" s="123"/>
      <c r="I79" s="74">
        <f>(I76-I77)</f>
        <v>-3.4000000000000057</v>
      </c>
      <c r="J79" s="74">
        <f t="shared" ref="J79:Z79" si="17">(J76-J77)</f>
        <v>-4.8999999999999986</v>
      </c>
      <c r="K79" s="74">
        <f t="shared" si="17"/>
        <v>8.2000000000000028</v>
      </c>
      <c r="L79" s="74">
        <f t="shared" si="17"/>
        <v>-0.20000000000000284</v>
      </c>
      <c r="M79" s="74">
        <f t="shared" si="17"/>
        <v>3.8000000000000043</v>
      </c>
      <c r="N79" s="74">
        <f t="shared" si="17"/>
        <v>11.100000000000001</v>
      </c>
      <c r="O79" s="74">
        <f t="shared" si="17"/>
        <v>-1.5999999999999943</v>
      </c>
      <c r="P79" s="74">
        <f t="shared" si="17"/>
        <v>-7.1054273576010019E-15</v>
      </c>
      <c r="Q79" s="74">
        <f t="shared" si="17"/>
        <v>4</v>
      </c>
      <c r="R79" s="74">
        <f t="shared" si="17"/>
        <v>2.7000000000000028</v>
      </c>
      <c r="S79" s="74">
        <f t="shared" si="17"/>
        <v>-3.0000000000000071</v>
      </c>
      <c r="T79" s="74">
        <f t="shared" si="17"/>
        <v>-1.3999999999999986</v>
      </c>
      <c r="U79" s="74">
        <f t="shared" si="17"/>
        <v>-3.0000000000000071</v>
      </c>
      <c r="V79" s="74">
        <f t="shared" si="17"/>
        <v>3</v>
      </c>
      <c r="W79" s="74">
        <f t="shared" si="17"/>
        <v>-7.6000000000000014</v>
      </c>
      <c r="X79" s="74">
        <f t="shared" si="17"/>
        <v>0.20000000000000284</v>
      </c>
      <c r="Y79" s="74">
        <f t="shared" si="17"/>
        <v>-5.5</v>
      </c>
      <c r="Z79" s="74">
        <f t="shared" si="17"/>
        <v>-2.4999999999999929</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uh7U2G9fJLd74pApKM2ojLDyUgSYIYcEXX5d6ZdZRNjBxj3oO/msAMSSe6P+o3J6hyB+Gig9OwNtHfP3RUAwag==" saltValue="K0ouFmPOVOiGFoJ8/PTbow=="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2022-08-02T11:19:16Z</dcterms:modified>
</cp:coreProperties>
</file>