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5765BC87-9054-40CA-9029-22F6B81DE3B1}" xr6:coauthVersionLast="47" xr6:coauthVersionMax="47" xr10:uidLastSave="{B0E28956-A49D-47F1-AB39-C0CA46963091}"/>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<sst xmlns="http://schemas.openxmlformats.org/spreadsheetml/2006/main" count="32859" uniqueCount="1676">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</sst>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Hampshire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25.88</c:v>
                </c:pt>
                <c:pt idx="1">
                  <c:v>26.91</c:v>
                </c:pt>
                <c:pt idx="2">
                  <c:v>27.78</c:v>
                </c:pt>
                <c:pt idx="3">
                  <c:v>29.13</c:v>
                </c:pt>
                <c:pt idx="4">
                  <c:v>30.35</c:v>
                </c:pt>
                <c:pt idx="5">
                  <c:v>31.45</c:v>
                </c:pt>
                <c:pt idx="6">
                  <c:v>32.97</c:v>
                </c:pt>
                <c:pt idx="7">
                  <c:v>32.6</c:v>
                </c:pt>
                <c:pt idx="8">
                  <c:v>32.39</c:v>
                </c:pt>
                <c:pt idx="9">
                  <c:v>33.770000000000003</c:v>
                </c:pt>
                <c:pt idx="10">
                  <c:v>33.96</c:v>
                </c:pt>
                <c:pt idx="11">
                  <c:v>34.840000000000003</c:v>
                </c:pt>
                <c:pt idx="12">
                  <c:v>35.270000000000003</c:v>
                </c:pt>
                <c:pt idx="13">
                  <c:v>37.28</c:v>
                </c:pt>
                <c:pt idx="14">
                  <c:v>39.21</c:v>
                </c:pt>
                <c:pt idx="15">
                  <c:v>39.479999999999997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Hampshire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485.7</c:v>
                </c:pt>
                <c:pt idx="1">
                  <c:v>498.3</c:v>
                </c:pt>
                <c:pt idx="2">
                  <c:v>510.4</c:v>
                </c:pt>
                <c:pt idx="3">
                  <c:v>523.20000000000005</c:v>
                </c:pt>
                <c:pt idx="4">
                  <c:v>533.1</c:v>
                </c:pt>
                <c:pt idx="5">
                  <c:v>536.6</c:v>
                </c:pt>
                <c:pt idx="6">
                  <c:v>536.6</c:v>
                </c:pt>
                <c:pt idx="7">
                  <c:v>547.5</c:v>
                </c:pt>
                <c:pt idx="8">
                  <c:v>555.6</c:v>
                </c:pt>
                <c:pt idx="9">
                  <c:v>571.70000000000005</c:v>
                </c:pt>
                <c:pt idx="10">
                  <c:v>586</c:v>
                </c:pt>
                <c:pt idx="11">
                  <c:v>604.4</c:v>
                </c:pt>
                <c:pt idx="12">
                  <c:v>594.20000000000005</c:v>
                </c:pt>
                <c:pt idx="13">
                  <c:v>640</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Hampshire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79.900000000000006</c:v>
                </c:pt>
                <c:pt idx="1">
                  <c:v>79.5</c:v>
                </c:pt>
                <c:pt idx="2">
                  <c:v>80</c:v>
                </c:pt>
                <c:pt idx="3">
                  <c:v>79.400000000000006</c:v>
                </c:pt>
                <c:pt idx="4">
                  <c:v>78.5</c:v>
                </c:pt>
                <c:pt idx="5">
                  <c:v>78.5</c:v>
                </c:pt>
                <c:pt idx="6">
                  <c:v>76.5</c:v>
                </c:pt>
                <c:pt idx="7">
                  <c:v>75.400000000000006</c:v>
                </c:pt>
                <c:pt idx="8">
                  <c:v>76.8</c:v>
                </c:pt>
                <c:pt idx="9">
                  <c:v>76.900000000000006</c:v>
                </c:pt>
                <c:pt idx="10">
                  <c:v>79.5</c:v>
                </c:pt>
                <c:pt idx="11">
                  <c:v>80.900000000000006</c:v>
                </c:pt>
                <c:pt idx="12">
                  <c:v>79.900000000000006</c:v>
                </c:pt>
                <c:pt idx="13">
                  <c:v>82.1</c:v>
                </c:pt>
                <c:pt idx="14">
                  <c:v>81.400000000000006</c:v>
                </c:pt>
                <c:pt idx="15">
                  <c:v>79.8</c:v>
                </c:pt>
                <c:pt idx="16">
                  <c:v>77.3</c:v>
                </c:pt>
                <c:pt idx="17">
                  <c:v>79.599999999999994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Hampshire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14702</c:v>
                </c:pt>
                <c:pt idx="1">
                  <c:v>15108</c:v>
                </c:pt>
                <c:pt idx="2">
                  <c:v>15616</c:v>
                </c:pt>
                <c:pt idx="3">
                  <c:v>16466</c:v>
                </c:pt>
                <c:pt idx="4">
                  <c:v>16933</c:v>
                </c:pt>
                <c:pt idx="5">
                  <c:v>17412</c:v>
                </c:pt>
                <c:pt idx="6">
                  <c:v>17458</c:v>
                </c:pt>
                <c:pt idx="7">
                  <c:v>17709</c:v>
                </c:pt>
                <c:pt idx="8">
                  <c:v>18406</c:v>
                </c:pt>
                <c:pt idx="9">
                  <c:v>18988</c:v>
                </c:pt>
                <c:pt idx="10">
                  <c:v>19350</c:v>
                </c:pt>
                <c:pt idx="11">
                  <c:v>20477</c:v>
                </c:pt>
                <c:pt idx="12">
                  <c:v>20617</c:v>
                </c:pt>
                <c:pt idx="13">
                  <c:v>21043</c:v>
                </c:pt>
                <c:pt idx="14">
                  <c:v>21905</c:v>
                </c:pt>
                <c:pt idx="15">
                  <c:v>22535</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Hampshire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19</c:v>
                </c:pt>
                <c:pt idx="1">
                  <c:v>20.7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Hampshire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17.8</c:v>
                </c:pt>
                <c:pt idx="1">
                  <c:v>18.100000000000001</c:v>
                </c:pt>
                <c:pt idx="2">
                  <c:v>17.2</c:v>
                </c:pt>
                <c:pt idx="3">
                  <c:v>18</c:v>
                </c:pt>
                <c:pt idx="4">
                  <c:v>18.600000000000001</c:v>
                </c:pt>
                <c:pt idx="5">
                  <c:v>17.5</c:v>
                </c:pt>
                <c:pt idx="6">
                  <c:v>18.600000000000001</c:v>
                </c:pt>
                <c:pt idx="7">
                  <c:v>20</c:v>
                </c:pt>
                <c:pt idx="8">
                  <c:v>19.100000000000001</c:v>
                </c:pt>
                <c:pt idx="9">
                  <c:v>19</c:v>
                </c:pt>
                <c:pt idx="10">
                  <c:v>18</c:v>
                </c:pt>
                <c:pt idx="11">
                  <c:v>15.8</c:v>
                </c:pt>
                <c:pt idx="12">
                  <c:v>17.100000000000001</c:v>
                </c:pt>
                <c:pt idx="13">
                  <c:v>16</c:v>
                </c:pt>
                <c:pt idx="14">
                  <c:v>16.2</c:v>
                </c:pt>
                <c:pt idx="15">
                  <c:v>17.899999999999999</c:v>
                </c:pt>
                <c:pt idx="16">
                  <c:v>19.399999999999999</c:v>
                </c:pt>
                <c:pt idx="17">
                  <c:v>17.600000000000001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Hampshire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22.300000000000004</c:v>
                </c:pt>
                <c:pt idx="1">
                  <c:v>23.200000000000003</c:v>
                </c:pt>
                <c:pt idx="2">
                  <c:v>25.700000000000003</c:v>
                </c:pt>
                <c:pt idx="3">
                  <c:v>22.399999999999991</c:v>
                </c:pt>
                <c:pt idx="4">
                  <c:v>16.799999999999997</c:v>
                </c:pt>
                <c:pt idx="5">
                  <c:v>21.700000000000003</c:v>
                </c:pt>
                <c:pt idx="6">
                  <c:v>21.5</c:v>
                </c:pt>
                <c:pt idx="7">
                  <c:v>20.200000000000003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Hampshire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7.700843586588638</c:v>
                </c:pt>
                <c:pt idx="1">
                  <c:v>5.0124184237950082</c:v>
                </c:pt>
                <c:pt idx="2">
                  <c:v>7.2645708281904211</c:v>
                </c:pt>
                <c:pt idx="3">
                  <c:v>7.4352814610562339</c:v>
                </c:pt>
                <c:pt idx="4">
                  <c:v>7.7089076091389446</c:v>
                </c:pt>
                <c:pt idx="5">
                  <c:v>10.948968422791763</c:v>
                </c:pt>
                <c:pt idx="6">
                  <c:v>9.8929790835796059</c:v>
                </c:pt>
                <c:pt idx="7">
                  <c:v>9.4648251884809333</c:v>
                </c:pt>
                <c:pt idx="8">
                  <c:v>5.8456015810914375</c:v>
                </c:pt>
                <c:pt idx="9">
                  <c:v>6.8033091025619399</c:v>
                </c:pt>
                <c:pt idx="10">
                  <c:v>4.9466578290770773</c:v>
                </c:pt>
                <c:pt idx="11">
                  <c:v>4.4175177717434515</c:v>
                </c:pt>
                <c:pt idx="12">
                  <c:v>4.2249206698294008</c:v>
                </c:pt>
                <c:pt idx="13">
                  <c:v>5.5772987128209897</c:v>
                </c:pt>
                <c:pt idx="14">
                  <c:v>9.6862360490222912</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Hampshire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55.2</c:v>
                </c:pt>
                <c:pt idx="1">
                  <c:v>55.4</c:v>
                </c:pt>
                <c:pt idx="2">
                  <c:v>55</c:v>
                </c:pt>
                <c:pt idx="3">
                  <c:v>55.9</c:v>
                </c:pt>
                <c:pt idx="4">
                  <c:v>55.099999999999994</c:v>
                </c:pt>
                <c:pt idx="5">
                  <c:v>54</c:v>
                </c:pt>
                <c:pt idx="6">
                  <c:v>54.3</c:v>
                </c:pt>
                <c:pt idx="7">
                  <c:v>58.3</c:v>
                </c:pt>
                <c:pt idx="8">
                  <c:v>59.099999999999994</c:v>
                </c:pt>
                <c:pt idx="9">
                  <c:v>59.2</c:v>
                </c:pt>
                <c:pt idx="10">
                  <c:v>60.9</c:v>
                </c:pt>
                <c:pt idx="11">
                  <c:v>59.2</c:v>
                </c:pt>
                <c:pt idx="12">
                  <c:v>59.400000000000006</c:v>
                </c:pt>
                <c:pt idx="13">
                  <c:v>58.300000000000004</c:v>
                </c:pt>
                <c:pt idx="14">
                  <c:v>59.2</c:v>
                </c:pt>
                <c:pt idx="15">
                  <c:v>61.1</c:v>
                </c:pt>
                <c:pt idx="16">
                  <c:v>62.9</c:v>
                </c:pt>
                <c:pt idx="17">
                  <c:v>59.2</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53340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153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Hampshire has been consistently greater than the rural and England situations, and follows the same pattern of change as both England and 'Rural as a Region' demonstrate.</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in Hampshire very closely follows the situation for 'Rural as a Region' from 2004 to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Hampshire in both 2017 and 2018 was below both the England and 'Rural as a Region' situations, albeit with a reduced gap.</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Economic inactivity rate in Hampshire between 2004 and 2021 was consistently below that of 'Rural as a Region'</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Hampshire has been consistently below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proportion for Hampshire has been consistently below that of England and 'Rural as a Region' and in some years has been markedly below the rural and England situations.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Hampshire in general has a higher proportion of employed people in skilled employment than seen for 'Rural as a Region'.</a:t>
          </a:r>
          <a:endParaRPr lang="en-GB" sz="1100">
            <a:latin typeface="Avenir Next LT Pro" panose="020B0504020202020204" pitchFamily="34" charset="0"/>
          </a:endParaRPr>
        </a:p>
      </xdr:txBody>
    </xdr:sp>
    <xdr:clientData/>
  </xdr:twoCellAnchor>
  <xdr:twoCellAnchor>
    <xdr:from>
      <xdr:col>0</xdr:col>
      <xdr:colOff>601980</xdr:colOff>
      <xdr:row>20</xdr:row>
      <xdr:rowOff>617220</xdr:rowOff>
    </xdr:from>
    <xdr:to>
      <xdr:col>1</xdr:col>
      <xdr:colOff>2583180</xdr:colOff>
      <xdr:row>22</xdr:row>
      <xdr:rowOff>144780</xdr:rowOff>
    </xdr:to>
    <xdr:sp macro="" textlink="">
      <xdr:nvSpPr>
        <xdr:cNvPr id="20" name="TextBox 19">
          <a:extLst>
            <a:ext uri="{FF2B5EF4-FFF2-40B4-BE49-F238E27FC236}">
              <a16:creationId xmlns:a16="http://schemas.microsoft.com/office/drawing/2014/main" id="{66FEAF54-EF26-4F8C-BC1A-49615F3C17BA}"/>
            </a:ext>
          </a:extLst>
        </xdr:cNvPr>
        <xdr:cNvSpPr txBox="1"/>
      </xdr:nvSpPr>
      <xdr:spPr>
        <a:xfrm>
          <a:off x="601980" y="75438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Hampshire is in line with the England average situation.</a:t>
          </a:r>
          <a:endParaRPr lang="en-GB" sz="1100">
            <a:latin typeface="Avenir Next LT Pro" panose="020B0504020202020204" pitchFamily="34" charset="0"/>
          </a:endParaRPr>
        </a:p>
      </xdr:txBody>
    </xdr:sp>
    <xdr:clientData/>
  </xdr:twoCellAnchor>
  <xdr:twoCellAnchor>
    <xdr:from>
      <xdr:col>0</xdr:col>
      <xdr:colOff>571500</xdr:colOff>
      <xdr:row>12</xdr:row>
      <xdr:rowOff>487680</xdr:rowOff>
    </xdr:from>
    <xdr:to>
      <xdr:col>1</xdr:col>
      <xdr:colOff>2552700</xdr:colOff>
      <xdr:row>14</xdr:row>
      <xdr:rowOff>228600</xdr:rowOff>
    </xdr:to>
    <xdr:sp macro="" textlink="">
      <xdr:nvSpPr>
        <xdr:cNvPr id="21" name="TextBox 20">
          <a:extLst>
            <a:ext uri="{FF2B5EF4-FFF2-40B4-BE49-F238E27FC236}">
              <a16:creationId xmlns:a16="http://schemas.microsoft.com/office/drawing/2014/main" id="{46D5A859-F630-4BAD-BE2B-BEBFA6D31B57}"/>
            </a:ext>
          </a:extLst>
        </xdr:cNvPr>
        <xdr:cNvSpPr txBox="1"/>
      </xdr:nvSpPr>
      <xdr:spPr>
        <a:xfrm>
          <a:off x="571500" y="3474720"/>
          <a:ext cx="6682740" cy="10363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Hampshire is consistently greater than the England situation, and a greater rate of increase from 2004 to 2019 sees its advantage increase above both the England and rural situations.</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196</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Hampshire</v>
      </c>
      <c r="G12" s="88" t="str">
        <f>IFERROR(VLOOKUP(F12,GVA!B244:B552,1,FALSE),VLOOKUP(F12,GVA!B6:C230,2,FALSE))</f>
        <v>(inc. Portsmouth, Southampton and Isle of Wight)</v>
      </c>
      <c r="H12" s="89" t="str">
        <f>IF(F12=G12,"",G12)</f>
        <v>(inc. Portsmouth, Southampton and Isle of Wight)</v>
      </c>
      <c r="I12" s="76">
        <f>IFERROR(VLOOKUP($F12,GVA!$B$7:$S$230,GVA!D$3,FALSE),VLOOKUP($F12,GVA!$B$244:$T$554,GVA!E$3,FALSE))</f>
        <v>25.88</v>
      </c>
      <c r="J12" s="77">
        <f>IFERROR(VLOOKUP($F12,GVA!$B$7:$S$230,GVA!E$3,FALSE),VLOOKUP($F12,GVA!$B$244:$T$554,GVA!F$3,FALSE))</f>
        <v>26.91</v>
      </c>
      <c r="K12" s="77">
        <f>IFERROR(VLOOKUP($F12,GVA!$B$7:$S$230,GVA!F$3,FALSE),VLOOKUP($F12,GVA!$B$244:$T$554,GVA!G$3,FALSE))</f>
        <v>27.78</v>
      </c>
      <c r="L12" s="77">
        <f>IFERROR(VLOOKUP($F12,GVA!$B$7:$S$230,GVA!G$3,FALSE),VLOOKUP($F12,GVA!$B$244:$T$554,GVA!H$3,FALSE))</f>
        <v>29.13</v>
      </c>
      <c r="M12" s="77">
        <f>IFERROR(VLOOKUP($F12,GVA!$B$7:$S$230,GVA!H$3,FALSE),VLOOKUP($F12,GVA!$B$244:$T$554,GVA!I$3,FALSE))</f>
        <v>30.35</v>
      </c>
      <c r="N12" s="77">
        <f>IFERROR(VLOOKUP($F12,GVA!$B$7:$S$230,GVA!I$3,FALSE),VLOOKUP($F12,GVA!$B$244:$T$554,GVA!J$3,FALSE))</f>
        <v>31.45</v>
      </c>
      <c r="O12" s="77">
        <f>IFERROR(VLOOKUP($F12,GVA!$B$7:$S$230,GVA!J$3,FALSE),VLOOKUP($F12,GVA!$B$244:$T$554,GVA!K$3,FALSE))</f>
        <v>32.97</v>
      </c>
      <c r="P12" s="77">
        <f>IFERROR(VLOOKUP($F12,GVA!$B$7:$S$230,GVA!K$3,FALSE),VLOOKUP($F12,GVA!$B$244:$T$554,GVA!L$3,FALSE))</f>
        <v>32.6</v>
      </c>
      <c r="Q12" s="77">
        <f>IFERROR(VLOOKUP($F12,GVA!$B$7:$S$230,GVA!L$3,FALSE),VLOOKUP($F12,GVA!$B$244:$T$554,GVA!M$3,FALSE))</f>
        <v>32.39</v>
      </c>
      <c r="R12" s="77">
        <f>IFERROR(VLOOKUP($F12,GVA!$B$7:$S$230,GVA!M$3,FALSE),VLOOKUP($F12,GVA!$B$244:$T$554,GVA!N$3,FALSE))</f>
        <v>33.770000000000003</v>
      </c>
      <c r="S12" s="77">
        <f>IFERROR(VLOOKUP($F12,GVA!$B$7:$S$230,GVA!N$3,FALSE),VLOOKUP($F12,GVA!$B$244:$T$554,GVA!O$3,FALSE))</f>
        <v>33.96</v>
      </c>
      <c r="T12" s="77">
        <f>IFERROR(VLOOKUP($F12,GVA!$B$7:$S$230,GVA!O$3,FALSE),VLOOKUP($F12,GVA!$B$244:$T$554,GVA!P$3,FALSE))</f>
        <v>34.840000000000003</v>
      </c>
      <c r="U12" s="77">
        <f>IFERROR(VLOOKUP($F12,GVA!$B$7:$S$230,GVA!P$3,FALSE),VLOOKUP($F12,GVA!$B$244:$T$554,GVA!Q$3,FALSE))</f>
        <v>35.270000000000003</v>
      </c>
      <c r="V12" s="77">
        <f>IFERROR(VLOOKUP($F12,GVA!$B$7:$S$230,GVA!Q$3,FALSE),VLOOKUP($F12,GVA!$B$244:$T$554,GVA!R$3,FALSE))</f>
        <v>37.28</v>
      </c>
      <c r="W12" s="77">
        <f>IFERROR(VLOOKUP($F12,GVA!$B$7:$S$230,GVA!R$3,FALSE),VLOOKUP($F12,GVA!$B$244:$T$554,GVA!S$3,FALSE))</f>
        <v>39.21</v>
      </c>
      <c r="X12" s="77">
        <f>IFERROR(VLOOKUP($F12,GVA!$B$7:$S$230,GVA!S$3,FALSE),VLOOKUP($F12,GVA!$B$244:$T$554,GVA!T$3,FALSE))</f>
        <v>39.479999999999997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Hampshire to Rural as a Region</v>
      </c>
      <c r="G15" s="122"/>
      <c r="H15" s="123"/>
      <c r="I15" s="74">
        <f>100*((I12-I13)/I13)</f>
        <v>9.9399707692541579</v>
      </c>
      <c r="J15" s="74">
        <f t="shared" ref="J15:X15" si="0">100*((J12-J13)/J13)</f>
        <v>14.633750532486761</v>
      </c>
      <c r="K15" s="74">
        <f t="shared" si="0"/>
        <v>14.302508412807979</v>
      </c>
      <c r="L15" s="74">
        <f t="shared" si="0"/>
        <v>17.277276125841116</v>
      </c>
      <c r="M15" s="74">
        <f t="shared" si="0"/>
        <v>20.128355550529424</v>
      </c>
      <c r="N15" s="74">
        <f t="shared" si="0"/>
        <v>23.465329413799058</v>
      </c>
      <c r="O15" s="74">
        <f t="shared" si="0"/>
        <v>27.83965804548626</v>
      </c>
      <c r="P15" s="74">
        <f t="shared" si="0"/>
        <v>24.548022213429054</v>
      </c>
      <c r="Q15" s="74">
        <f t="shared" si="0"/>
        <v>21.262200828987822</v>
      </c>
      <c r="R15" s="74">
        <f t="shared" si="0"/>
        <v>24.273528986554822</v>
      </c>
      <c r="S15" s="74">
        <f t="shared" si="0"/>
        <v>22.933716014428075</v>
      </c>
      <c r="T15" s="74">
        <f t="shared" si="0"/>
        <v>23.77391686826482</v>
      </c>
      <c r="U15" s="74">
        <f t="shared" si="0"/>
        <v>22.308044800211409</v>
      </c>
      <c r="V15" s="74">
        <f t="shared" si="0"/>
        <v>25.857363904909285</v>
      </c>
      <c r="W15" s="74">
        <f t="shared" si="0"/>
        <v>29.686694045336331</v>
      </c>
      <c r="X15" s="74">
        <f t="shared" si="0"/>
        <v>29.225229999493401</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Hampshire</v>
      </c>
      <c r="G20" s="88"/>
      <c r="H20" s="89"/>
      <c r="I20" s="80">
        <f>IF(VLOOKUP($F20,PAY!$A$11:$AE$349,4,FALSE)="-",#N/A,VLOOKUP($F20,PAY!$A$11:$AE$349,4,FALSE))</f>
        <v>485.7</v>
      </c>
      <c r="J20" s="80">
        <f>IF(VLOOKUP($F20,PAY!$A$11:$AE$349,6,FALSE)="-",#N/A,VLOOKUP($F20,PAY!$A$11:$AE$349,6,FALSE))</f>
        <v>498.3</v>
      </c>
      <c r="K20" s="80">
        <f>IF(VLOOKUP($F20,PAY!$A$11:$AE$349,8,FALSE)="-",#N/A,VLOOKUP($F20,PAY!$A$11:$AE$349,8,FALSE))</f>
        <v>510.4</v>
      </c>
      <c r="L20" s="80">
        <f>IF(VLOOKUP($F20,PAY!$A$11:$AE$349,10,FALSE)="-",#N/A,VLOOKUP($F20,PAY!$A$11:$AE$349,10,FALSE))</f>
        <v>523.20000000000005</v>
      </c>
      <c r="M20" s="80">
        <f>IF(VLOOKUP($F20,PAY!$A$11:$AE$349,12,FALSE)="-",#N/A,VLOOKUP($F20,PAY!$A$11:$AE$349,12,FALSE))</f>
        <v>533.1</v>
      </c>
      <c r="N20" s="80">
        <f>IF(VLOOKUP($F20,PAY!$A$11:$AE$349,14,FALSE)="-",#N/A,VLOOKUP($F20,PAY!$A$11:$AE$349,14,FALSE))</f>
        <v>536.6</v>
      </c>
      <c r="O20" s="80">
        <f>IF(VLOOKUP($F20,PAY!$A$11:$AE$349,16,FALSE)="-",#N/A,VLOOKUP($F20,PAY!$A$11:$AE$349,16,FALSE))</f>
        <v>536.6</v>
      </c>
      <c r="P20" s="80">
        <f>IF(VLOOKUP($F20,PAY!$A$11:$AE$349,18,FALSE)="-",#N/A,VLOOKUP($F20,PAY!$A$11:$AE$349,18,FALSE))</f>
        <v>547.5</v>
      </c>
      <c r="Q20" s="80">
        <f>IF(VLOOKUP($F20,PAY!$A$11:$AE$349,20,FALSE)="-",#N/A,VLOOKUP($F20,PAY!$A$11:$AE$349,20,FALSE))</f>
        <v>555.6</v>
      </c>
      <c r="R20" s="80">
        <f>IF(VLOOKUP($F20,PAY!$A$11:$AE$349,22,FALSE)="-",#N/A,VLOOKUP($F20,PAY!$A$11:$AE$349,22,FALSE))</f>
        <v>571.70000000000005</v>
      </c>
      <c r="S20" s="80">
        <f>IF(VLOOKUP($F20,PAY!$A$11:$AE$349,24,FALSE)="-",#N/A,VLOOKUP($F20,PAY!$A$11:$AE$349,24,FALSE))</f>
        <v>586</v>
      </c>
      <c r="T20" s="80">
        <f>IF(VLOOKUP($F20,PAY!$A$11:$AE$349,26,FALSE)="-",#N/A,VLOOKUP($F20,PAY!$A$11:$AE$349,26,FALSE))</f>
        <v>604.4</v>
      </c>
      <c r="U20" s="80">
        <f>IF(VLOOKUP($F20,PAY!$A$11:$AE$349,28,FALSE)="-",#N/A,VLOOKUP($F20,PAY!$A$11:$AE$349,28,FALSE))</f>
        <v>594.20000000000005</v>
      </c>
      <c r="V20" s="80">
        <f>IF(VLOOKUP($F20,PAY!$A$11:$AE$349,30,FALSE)="-",#N/A,VLOOKUP($F20,PAY!$A$11:$AE$349,30,FALSE))</f>
        <v>640</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Hampshire to Rural as a Region</v>
      </c>
      <c r="G23" s="122"/>
      <c r="H23" s="123"/>
      <c r="I23" s="74">
        <f>100*((I20-I21)/I21)</f>
        <v>12.172868235184058</v>
      </c>
      <c r="J23" s="74">
        <f t="shared" ref="J23:V23" si="2">100*((J20-J21)/J21)</f>
        <v>14.047033243691709</v>
      </c>
      <c r="K23" s="74">
        <f t="shared" si="2"/>
        <v>13.89992909784776</v>
      </c>
      <c r="L23" s="74">
        <f t="shared" si="2"/>
        <v>16.098152892004887</v>
      </c>
      <c r="M23" s="74">
        <f t="shared" si="2"/>
        <v>17.10228505013318</v>
      </c>
      <c r="N23" s="74">
        <f t="shared" si="2"/>
        <v>15.853251928090828</v>
      </c>
      <c r="O23" s="74">
        <f t="shared" si="2"/>
        <v>13.975597821118807</v>
      </c>
      <c r="P23" s="74">
        <f t="shared" si="2"/>
        <v>15.306484248578409</v>
      </c>
      <c r="Q23" s="74">
        <f t="shared" si="2"/>
        <v>13.507684430203954</v>
      </c>
      <c r="R23" s="74">
        <f t="shared" si="2"/>
        <v>13.419720997978473</v>
      </c>
      <c r="S23" s="74">
        <f t="shared" si="2"/>
        <v>13.913457822956707</v>
      </c>
      <c r="T23" s="74">
        <f t="shared" si="2"/>
        <v>13.247395200164181</v>
      </c>
      <c r="U23" s="74">
        <f t="shared" si="2"/>
        <v>11.891916418994084</v>
      </c>
      <c r="V23" s="74">
        <f t="shared" si="2"/>
        <v>13.424052646525606</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Hampshire</v>
      </c>
      <c r="G28" s="88"/>
      <c r="H28" s="89"/>
      <c r="I28" s="76">
        <f>VLOOKUP($F28,EMPLOYMENT!$A$6:$BW$345,6,FALSE)</f>
        <v>79.900000000000006</v>
      </c>
      <c r="J28" s="77">
        <f>VLOOKUP($F28,EMPLOYMENT!$A$6:$BW$345,10,FALSE)</f>
        <v>79.5</v>
      </c>
      <c r="K28" s="77">
        <f>VLOOKUP($F28,EMPLOYMENT!$A$6:$BW$345,14,FALSE)</f>
        <v>80</v>
      </c>
      <c r="L28" s="77">
        <f>VLOOKUP($F28,EMPLOYMENT!$A$6:$BW$345,18,FALSE)</f>
        <v>79.400000000000006</v>
      </c>
      <c r="M28" s="77">
        <f>VLOOKUP($F28,EMPLOYMENT!$A$6:$BW$345,22,FALSE)</f>
        <v>78.5</v>
      </c>
      <c r="N28" s="77">
        <f>VLOOKUP($F28,EMPLOYMENT!$A$6:$BW$345,26,FALSE)</f>
        <v>78.5</v>
      </c>
      <c r="O28" s="77">
        <f>VLOOKUP($F28,EMPLOYMENT!$A$6:$BW$345,30,FALSE)</f>
        <v>76.5</v>
      </c>
      <c r="P28" s="77">
        <f>VLOOKUP($F28,EMPLOYMENT!$A$6:$BW$345,34,FALSE)</f>
        <v>75.400000000000006</v>
      </c>
      <c r="Q28" s="77">
        <f>VLOOKUP($F28,EMPLOYMENT!$A$6:$BW$345,38,FALSE)</f>
        <v>76.8</v>
      </c>
      <c r="R28" s="77">
        <f>VLOOKUP($F28,EMPLOYMENT!$A$6:$BW$345,42,FALSE)</f>
        <v>76.900000000000006</v>
      </c>
      <c r="S28" s="77">
        <f>VLOOKUP($F28,EMPLOYMENT!$A$6:$BW$345,46,FALSE)</f>
        <v>79.5</v>
      </c>
      <c r="T28" s="77">
        <f>VLOOKUP($F28,EMPLOYMENT!$A$6:$BW$345,50,FALSE)</f>
        <v>80.900000000000006</v>
      </c>
      <c r="U28" s="77">
        <f>VLOOKUP($F28,EMPLOYMENT!$A$6:$BW$345,54,FALSE)</f>
        <v>79.900000000000006</v>
      </c>
      <c r="V28" s="77">
        <f>VLOOKUP($F28,EMPLOYMENT!$A$6:$BW$345,58,FALSE)</f>
        <v>82.1</v>
      </c>
      <c r="W28" s="77">
        <f>VLOOKUP($F28,EMPLOYMENT!$A$6:$BW$345,62,FALSE)</f>
        <v>81.400000000000006</v>
      </c>
      <c r="X28" s="77">
        <f>VLOOKUP($F28,EMPLOYMENT!$A$6:$BW$345,66,FALSE)</f>
        <v>79.8</v>
      </c>
      <c r="Y28" s="77">
        <f>VLOOKUP($F28,EMPLOYMENT!$A$6:$BW$345,70,FALSE)</f>
        <v>77.3</v>
      </c>
      <c r="Z28" s="77">
        <f>VLOOKUP($F28,EMPLOYMENT!$A$6:$BW$345,74,FALSE)</f>
        <v>79.599999999999994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Hampshire to Rural as a Region</v>
      </c>
      <c r="G31" s="122"/>
      <c r="H31" s="123"/>
      <c r="I31" s="74">
        <f>(I28-I29)</f>
        <v>3.7886580805982675</v>
      </c>
      <c r="J31" s="74">
        <f t="shared" ref="J31:Z31" si="4">(J28-J29)</f>
        <v>3.1870245333170431</v>
      </c>
      <c r="K31" s="74">
        <f t="shared" si="4"/>
        <v>4.1268111005132369</v>
      </c>
      <c r="L31" s="74">
        <f t="shared" si="4"/>
        <v>3.759531697372168</v>
      </c>
      <c r="M31" s="74">
        <f t="shared" si="4"/>
        <v>2.7644756266682577</v>
      </c>
      <c r="N31" s="74">
        <f t="shared" si="4"/>
        <v>3.9904601571268188</v>
      </c>
      <c r="O31" s="74">
        <f t="shared" si="4"/>
        <v>2.952866861030131</v>
      </c>
      <c r="P31" s="74">
        <f t="shared" si="4"/>
        <v>1.6657045967223922</v>
      </c>
      <c r="Q31" s="74">
        <f t="shared" si="4"/>
        <v>2.7668425245374237</v>
      </c>
      <c r="R31" s="74">
        <f t="shared" si="4"/>
        <v>2.1555250700997988</v>
      </c>
      <c r="S31" s="74">
        <f t="shared" si="4"/>
        <v>3.3911396599243915</v>
      </c>
      <c r="T31" s="74">
        <f t="shared" si="4"/>
        <v>3.7094680243909863</v>
      </c>
      <c r="U31" s="74">
        <f t="shared" si="4"/>
        <v>2.9283675182919637</v>
      </c>
      <c r="V31" s="74">
        <f t="shared" si="4"/>
        <v>4.0672131147540966</v>
      </c>
      <c r="W31" s="74">
        <f t="shared" si="4"/>
        <v>3.3518431065858607</v>
      </c>
      <c r="X31" s="74">
        <f t="shared" si="4"/>
        <v>1.2087006210432918</v>
      </c>
      <c r="Y31" s="74">
        <f t="shared" si="4"/>
        <v>0.2856537038707927</v>
      </c>
      <c r="Z31" s="74">
        <f t="shared" si="4"/>
        <v>3.4442419221209519</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Hampshire</v>
      </c>
      <c r="G36" s="88" t="str">
        <f>IFERROR(VLOOKUP(F36,GDHI!B338:C574,2,FALSE),VLOOKUP(F36,GDHI!C3:C336,1,FALSE))</f>
        <v>(inc. Portsmouth, Southampton and Isle of Wight)</v>
      </c>
      <c r="H36" s="89" t="str">
        <f>IF(F36=G36,"",G36)</f>
        <v>(inc. Portsmouth, Southampton and Isle of Wight)</v>
      </c>
      <c r="I36" s="83">
        <f>IFERROR(VLOOKUP($F36,GDHI!$B$338:$U$574,GDHI!G$578,FALSE),VLOOKUP($F36,GDHI!$C$3:$U$336,GDHI!F$578,FALSE))</f>
        <v>14702</v>
      </c>
      <c r="J36" s="84">
        <f>IFERROR(VLOOKUP($F36,GDHI!$B$338:$U$574,GDHI!H$578,FALSE),VLOOKUP($F36,GDHI!$C$3:$U$336,GDHI!G$578,FALSE))</f>
        <v>15108</v>
      </c>
      <c r="K36" s="84">
        <f>IFERROR(VLOOKUP($F36,GDHI!$B$338:$U$574,GDHI!I$578,FALSE),VLOOKUP($F36,GDHI!$C$3:$U$336,GDHI!H$578,FALSE))</f>
        <v>15616</v>
      </c>
      <c r="L36" s="84">
        <f>IFERROR(VLOOKUP($F36,GDHI!$B$338:$U$574,GDHI!J$578,FALSE),VLOOKUP($F36,GDHI!$C$3:$U$336,GDHI!I$578,FALSE))</f>
        <v>16466</v>
      </c>
      <c r="M36" s="84">
        <f>IFERROR(VLOOKUP($F36,GDHI!$B$338:$U$574,GDHI!K$578,FALSE),VLOOKUP($F36,GDHI!$C$3:$U$336,GDHI!J$578,FALSE))</f>
        <v>16933</v>
      </c>
      <c r="N36" s="84">
        <f>IFERROR(VLOOKUP($F36,GDHI!$B$338:$U$574,GDHI!L$578,FALSE),VLOOKUP($F36,GDHI!$C$3:$U$336,GDHI!K$578,FALSE))</f>
        <v>17412</v>
      </c>
      <c r="O36" s="84">
        <f>IFERROR(VLOOKUP($F36,GDHI!$B$338:$U$574,GDHI!M$578,FALSE),VLOOKUP($F36,GDHI!$C$3:$U$336,GDHI!L$578,FALSE))</f>
        <v>17458</v>
      </c>
      <c r="P36" s="84">
        <f>IFERROR(VLOOKUP($F36,GDHI!$B$338:$U$574,GDHI!N$578,FALSE),VLOOKUP($F36,GDHI!$C$3:$U$336,GDHI!M$578,FALSE))</f>
        <v>17709</v>
      </c>
      <c r="Q36" s="84">
        <f>IFERROR(VLOOKUP($F36,GDHI!$B$338:$U$574,GDHI!O$578,FALSE),VLOOKUP($F36,GDHI!$C$3:$U$336,GDHI!N$578,FALSE))</f>
        <v>18406</v>
      </c>
      <c r="R36" s="84">
        <f>IFERROR(VLOOKUP($F36,GDHI!$B$338:$U$574,GDHI!P$578,FALSE),VLOOKUP($F36,GDHI!$C$3:$U$336,GDHI!O$578,FALSE))</f>
        <v>18988</v>
      </c>
      <c r="S36" s="84">
        <f>IFERROR(VLOOKUP($F36,GDHI!$B$338:$U$574,GDHI!Q$578,FALSE),VLOOKUP($F36,GDHI!$C$3:$U$336,GDHI!P$578,FALSE))</f>
        <v>19350</v>
      </c>
      <c r="T36" s="84">
        <f>IFERROR(VLOOKUP($F36,GDHI!$B$338:$U$574,GDHI!R$578,FALSE),VLOOKUP($F36,GDHI!$C$3:$U$336,GDHI!Q$578,FALSE))</f>
        <v>20477</v>
      </c>
      <c r="U36" s="84">
        <f>IFERROR(VLOOKUP($F36,GDHI!$B$338:$U$574,GDHI!S$578,FALSE),VLOOKUP($F36,GDHI!$C$3:$U$336,GDHI!R$578,FALSE))</f>
        <v>20617</v>
      </c>
      <c r="V36" s="84">
        <f>IFERROR(VLOOKUP($F36,GDHI!$B$338:$U$574,GDHI!T$578,FALSE),VLOOKUP($F36,GDHI!$C$3:$U$336,GDHI!S$578,FALSE))</f>
        <v>21043</v>
      </c>
      <c r="W36" s="84">
        <f>IFERROR(VLOOKUP($F36,GDHI!$B$338:$U$574,GDHI!U$578,FALSE),VLOOKUP($F36,GDHI!$C$3:$U$336,GDHI!T$578,FALSE))</f>
        <v>21905</v>
      </c>
      <c r="X36" s="84">
        <f>IFERROR(VLOOKUP($F36,GDHI!$B$338:$U$574,GDHI!V$578,FALSE),VLOOKUP($F36,GDHI!$C$3:$U$336,GDHI!U$578,FALSE))</f>
        <v>22535</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Hampshire to Rural as a Region</v>
      </c>
      <c r="G39" s="122"/>
      <c r="H39" s="123"/>
      <c r="I39" s="74">
        <f>100*((I36-I37)/I37)</f>
        <v>-5.098745708555695E-2</v>
      </c>
      <c r="J39" s="74">
        <f t="shared" ref="J39:X39" si="6">100*((J36-J37)/J37)</f>
        <v>-1.5216333600014333</v>
      </c>
      <c r="K39" s="74">
        <f t="shared" si="6"/>
        <v>-1.9352870859003668</v>
      </c>
      <c r="L39" s="74">
        <f t="shared" si="6"/>
        <v>-0.61671577830997648</v>
      </c>
      <c r="M39" s="74">
        <f t="shared" si="6"/>
        <v>-0.764028763928288</v>
      </c>
      <c r="N39" s="74">
        <f t="shared" si="6"/>
        <v>0.6886249186805703</v>
      </c>
      <c r="O39" s="74">
        <f t="shared" si="6"/>
        <v>-0.28510911730408367</v>
      </c>
      <c r="P39" s="74">
        <f t="shared" si="6"/>
        <v>-0.51150210941115337</v>
      </c>
      <c r="Q39" s="74">
        <f t="shared" si="6"/>
        <v>0.21584496497867681</v>
      </c>
      <c r="R39" s="74">
        <f t="shared" si="6"/>
        <v>0.60432279074636974</v>
      </c>
      <c r="S39" s="74">
        <f t="shared" si="6"/>
        <v>-0.23734599669667134</v>
      </c>
      <c r="T39" s="74">
        <f t="shared" si="6"/>
        <v>9.1125875908211404E-2</v>
      </c>
      <c r="U39" s="74">
        <f t="shared" si="6"/>
        <v>-3.8326295301803204E-2</v>
      </c>
      <c r="V39" s="74">
        <f t="shared" si="6"/>
        <v>0.36971190181596542</v>
      </c>
      <c r="W39" s="74">
        <f t="shared" si="6"/>
        <v>0.2889817399731105</v>
      </c>
      <c r="X39" s="74">
        <f t="shared" si="6"/>
        <v>1.2120703363309302</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Hampshire</v>
      </c>
      <c r="G44" s="88"/>
      <c r="H44" s="89"/>
      <c r="I44" s="76">
        <f>VLOOKUP($F44,'LOW PAID'!$A$9:$N$444,6,FALSE)</f>
        <v>19</v>
      </c>
      <c r="J44" s="77">
        <f>VLOOKUP($F44,'LOW PAID'!$P$9:$W$444,6,FALSE)</f>
        <v>20.7</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Hampshire to Rural as a Region</v>
      </c>
      <c r="G47" s="122"/>
      <c r="H47" s="123"/>
      <c r="I47" s="74">
        <f>(I44-I45)</f>
        <v>-6.1938746782131169</v>
      </c>
      <c r="J47" s="74">
        <f>(J44-J45)</f>
        <v>-4.9861165090300545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Hampshire</v>
      </c>
      <c r="G52" s="88"/>
      <c r="H52" s="89"/>
      <c r="I52" s="76">
        <f>VLOOKUP($F52,INACTIVITY!$A$6:$BW$345,6,FALSE)</f>
        <v>17.8</v>
      </c>
      <c r="J52" s="77">
        <f>VLOOKUP($F52,INACTIVITY!$A$6:$BW$345,10,FALSE)</f>
        <v>18.100000000000001</v>
      </c>
      <c r="K52" s="77">
        <f>VLOOKUP($F52,INACTIVITY!$A$6:$BW$345,14,FALSE)</f>
        <v>17.2</v>
      </c>
      <c r="L52" s="77">
        <f>VLOOKUP($F52,INACTIVITY!$A$6:$BW$345,18,FALSE)</f>
        <v>18</v>
      </c>
      <c r="M52" s="77">
        <f>VLOOKUP($F52,INACTIVITY!$A$6:$BW$345,22,FALSE)</f>
        <v>18.600000000000001</v>
      </c>
      <c r="N52" s="77">
        <f>VLOOKUP($F52,INACTIVITY!$A$6:$BW$345,26,FALSE)</f>
        <v>17.5</v>
      </c>
      <c r="O52" s="77">
        <f>VLOOKUP($F52,INACTIVITY!$A$6:$BW$345,30,FALSE)</f>
        <v>18.600000000000001</v>
      </c>
      <c r="P52" s="77">
        <f>VLOOKUP($F52,INACTIVITY!$A$6:$BW$345,34,FALSE)</f>
        <v>20</v>
      </c>
      <c r="Q52" s="77">
        <f>VLOOKUP($F52,INACTIVITY!$A$6:$BW$345,38,FALSE)</f>
        <v>19.100000000000001</v>
      </c>
      <c r="R52" s="77">
        <f>VLOOKUP($F52,INACTIVITY!$A$6:$BW$345,42,FALSE)</f>
        <v>19</v>
      </c>
      <c r="S52" s="77">
        <f>VLOOKUP($F52,INACTIVITY!$A$6:$BW$345,46,FALSE)</f>
        <v>18</v>
      </c>
      <c r="T52" s="77">
        <f>VLOOKUP($F52,INACTIVITY!$A$6:$BW$345,50,FALSE)</f>
        <v>15.8</v>
      </c>
      <c r="U52" s="77">
        <f>VLOOKUP($F52,INACTIVITY!$A$6:$BW$345,54,FALSE)</f>
        <v>17.100000000000001</v>
      </c>
      <c r="V52" s="77">
        <f>VLOOKUP($F52,INACTIVITY!$A$6:$BW$345,58,FALSE)</f>
        <v>16</v>
      </c>
      <c r="W52" s="77">
        <f>VLOOKUP($F52,INACTIVITY!$A$6:$BW$345,62,FALSE)</f>
        <v>16.2</v>
      </c>
      <c r="X52" s="77">
        <f>VLOOKUP($F52,INACTIVITY!$A$6:$BW$345,66,FALSE)</f>
        <v>17.899999999999999</v>
      </c>
      <c r="Y52" s="77">
        <f>VLOOKUP($F52,INACTIVITY!$A$6:$BW$345,70,FALSE)</f>
        <v>19.399999999999999</v>
      </c>
      <c r="Z52" s="77">
        <f>VLOOKUP($F52,INACTIVITY!$A$6:$BW$345,74,FALSE)</f>
        <v>17.600000000000001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Hampshire to Rural as a Region</v>
      </c>
      <c r="G55" s="122"/>
      <c r="H55" s="123"/>
      <c r="I55" s="74">
        <f>(I52-I53)</f>
        <v>-3.5956445716102365</v>
      </c>
      <c r="J55" s="74">
        <f t="shared" ref="J55:Z55" si="10">(J52-J53)</f>
        <v>-2.9085227272727252</v>
      </c>
      <c r="K55" s="74">
        <f t="shared" si="10"/>
        <v>-3.6624653934587776</v>
      </c>
      <c r="L55" s="74">
        <f t="shared" si="10"/>
        <v>-3.3140653315366393</v>
      </c>
      <c r="M55" s="74">
        <f t="shared" si="10"/>
        <v>-2.2350023108920034</v>
      </c>
      <c r="N55" s="74">
        <f t="shared" si="10"/>
        <v>-3.4331437579204405</v>
      </c>
      <c r="O55" s="74">
        <f t="shared" si="10"/>
        <v>-3.0919371275051724</v>
      </c>
      <c r="P55" s="74">
        <f t="shared" si="10"/>
        <v>-1.4942457807534488</v>
      </c>
      <c r="Q55" s="74">
        <f t="shared" si="10"/>
        <v>-2.0825487944890924</v>
      </c>
      <c r="R55" s="74">
        <f t="shared" si="10"/>
        <v>-1.7745930974387711</v>
      </c>
      <c r="S55" s="74">
        <f t="shared" si="10"/>
        <v>-2.2732104559724</v>
      </c>
      <c r="T55" s="74">
        <f t="shared" si="10"/>
        <v>-3.8961946834069572</v>
      </c>
      <c r="U55" s="74">
        <f t="shared" si="10"/>
        <v>-2.7524293470694694</v>
      </c>
      <c r="V55" s="74">
        <f t="shared" si="10"/>
        <v>-3.2532773342803765</v>
      </c>
      <c r="W55" s="74">
        <f t="shared" si="10"/>
        <v>-2.9769560091828495</v>
      </c>
      <c r="X55" s="74">
        <f t="shared" si="10"/>
        <v>-0.95206494936493158</v>
      </c>
      <c r="Y55" s="74">
        <f t="shared" si="10"/>
        <v>-0.37258272187146346</v>
      </c>
      <c r="Z55" s="74">
        <f t="shared" si="10"/>
        <v>-3.4851797756300691</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Hampshire</v>
      </c>
      <c r="G60" s="88"/>
      <c r="H60" s="89"/>
      <c r="I60" s="76">
        <f>VLOOKUP($F60,DISABILITY!$A$718:$I$1052,DISABILITY!B$1053,FALSE)</f>
        <v>22.300000000000004</v>
      </c>
      <c r="J60" s="77">
        <f>VLOOKUP($F60,DISABILITY!$A$718:$I$1052,DISABILITY!C$1053,FALSE)</f>
        <v>23.200000000000003</v>
      </c>
      <c r="K60" s="77">
        <f>VLOOKUP($F60,DISABILITY!$A$718:$I$1052,DISABILITY!D$1053,FALSE)</f>
        <v>25.700000000000003</v>
      </c>
      <c r="L60" s="77">
        <f>VLOOKUP($F60,DISABILITY!$A$718:$I$1052,DISABILITY!E$1053,FALSE)</f>
        <v>22.399999999999991</v>
      </c>
      <c r="M60" s="77">
        <f>VLOOKUP($F60,DISABILITY!$A$718:$I$1052,DISABILITY!F$1053,FALSE)</f>
        <v>16.799999999999997</v>
      </c>
      <c r="N60" s="77">
        <f>VLOOKUP($F60,DISABILITY!$A$718:$I$1052,DISABILITY!G$1053,FALSE)</f>
        <v>21.700000000000003</v>
      </c>
      <c r="O60" s="77">
        <f>VLOOKUP($F60,DISABILITY!$A$718:$I$1052,DISABILITY!H$1053,FALSE)</f>
        <v>21.5</v>
      </c>
      <c r="P60" s="77">
        <f>VLOOKUP($F60,DISABILITY!$A$718:$I$1052,DISABILITY!I$1053,FALSE)</f>
        <v>20.200000000000003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Hampshire to Rural as a Region</v>
      </c>
      <c r="G63" s="122"/>
      <c r="H63" s="123"/>
      <c r="I63" s="74">
        <f>(I60-I61)</f>
        <v>-5.120156540647244</v>
      </c>
      <c r="J63" s="74">
        <f t="shared" ref="J63:P63" si="12">(J60-J61)</f>
        <v>-4.1190444070511845</v>
      </c>
      <c r="K63" s="74">
        <f t="shared" si="12"/>
        <v>-2.4191283614982027</v>
      </c>
      <c r="L63" s="74">
        <f t="shared" si="12"/>
        <v>-3.5909345389966845</v>
      </c>
      <c r="M63" s="74">
        <f t="shared" si="12"/>
        <v>-8.6752258186661209</v>
      </c>
      <c r="N63" s="74">
        <f t="shared" si="12"/>
        <v>-3.8312476854419799</v>
      </c>
      <c r="O63" s="74">
        <f t="shared" si="12"/>
        <v>-2.2972222879969451</v>
      </c>
      <c r="P63" s="74">
        <f t="shared" si="12"/>
        <v>-5.154177930342172</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Hampshire</v>
      </c>
      <c r="G68" s="88"/>
      <c r="H68" s="89"/>
      <c r="I68" s="76">
        <f>VLOOKUP($F68,'WORKLESS HOUSEHOLDS'!$DW$4:$EC$397,7,FALSE)</f>
        <v>7.700843586588638</v>
      </c>
      <c r="J68" s="77">
        <f>VLOOKUP($F68,'WORKLESS HOUSEHOLDS'!$DN$4:$DT$397,7,FALSE)</f>
        <v>5.0124184237950082</v>
      </c>
      <c r="K68" s="77">
        <f>VLOOKUP($F68,'WORKLESS HOUSEHOLDS'!$DE$4:$DK$397,7,FALSE)</f>
        <v>7.2645708281904211</v>
      </c>
      <c r="L68" s="77">
        <f>VLOOKUP($F68,'WORKLESS HOUSEHOLDS'!$CV$4:$DB$397,7,FALSE)</f>
        <v>7.4352814610562339</v>
      </c>
      <c r="M68" s="77">
        <f>VLOOKUP($F68,'WORKLESS HOUSEHOLDS'!$CM$4:$CS$397,7,FALSE)</f>
        <v>7.7089076091389446</v>
      </c>
      <c r="N68" s="77">
        <f>VLOOKUP($F68,'WORKLESS HOUSEHOLDS'!$CD$4:$CJ$397,7,FALSE)</f>
        <v>10.948968422791763</v>
      </c>
      <c r="O68" s="77">
        <f>VLOOKUP($F68,'WORKLESS HOUSEHOLDS'!$BU$4:$CA$397,7,FALSE)</f>
        <v>9.8929790835796059</v>
      </c>
      <c r="P68" s="77">
        <f>VLOOKUP($F68,'WORKLESS HOUSEHOLDS'!$BL$4:$BR$397,7,FALSE)</f>
        <v>9.4648251884809333</v>
      </c>
      <c r="Q68" s="77">
        <f>VLOOKUP($F68,'WORKLESS HOUSEHOLDS'!$BC$4:$BI$397,7,FALSE)</f>
        <v>5.8456015810914375</v>
      </c>
      <c r="R68" s="77">
        <f>VLOOKUP($F68,'WORKLESS HOUSEHOLDS'!$AT$4:$AZ$397,7,FALSE)</f>
        <v>6.8033091025619399</v>
      </c>
      <c r="S68" s="77">
        <f>VLOOKUP($F68,'WORKLESS HOUSEHOLDS'!$AK$4:$AQ$397,7,FALSE)</f>
        <v>4.9466578290770773</v>
      </c>
      <c r="T68" s="77">
        <f>VLOOKUP($F68,'WORKLESS HOUSEHOLDS'!$AB$4:$AH$397,7,FALSE)</f>
        <v>4.4175177717434515</v>
      </c>
      <c r="U68" s="77">
        <f>VLOOKUP($F68,'WORKLESS HOUSEHOLDS'!$S$4:$Y$397,7,FALSE)</f>
        <v>4.2249206698294008</v>
      </c>
      <c r="V68" s="77">
        <f>VLOOKUP($F68,'WORKLESS HOUSEHOLDS'!$J$4:$P$397,7,FALSE)</f>
        <v>5.5772987128209897</v>
      </c>
      <c r="W68" s="77">
        <f>VLOOKUP($F68,'WORKLESS HOUSEHOLDS'!$B$4:$H$397,7,FALSE)</f>
        <v>9.6862360490222912</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Hampshire to Rural as a Region</v>
      </c>
      <c r="G71" s="122"/>
      <c r="H71" s="123"/>
      <c r="I71" s="74">
        <f>(I68-I69)</f>
        <v>-2.3111022759980528</v>
      </c>
      <c r="J71" s="74">
        <f t="shared" ref="J71:W71" si="14">(J68-J69)</f>
        <v>-5.898736413680016</v>
      </c>
      <c r="K71" s="74">
        <f t="shared" si="14"/>
        <v>-3.0286749009654228</v>
      </c>
      <c r="L71" s="74">
        <f t="shared" si="14"/>
        <v>-3.5307252002734986</v>
      </c>
      <c r="M71" s="74">
        <f t="shared" si="14"/>
        <v>-3.9848715720495287</v>
      </c>
      <c r="N71" s="74">
        <f t="shared" si="14"/>
        <v>-0.95213125646361796</v>
      </c>
      <c r="O71" s="74">
        <f t="shared" si="14"/>
        <v>-1.1422741641629059</v>
      </c>
      <c r="P71" s="74">
        <f t="shared" si="14"/>
        <v>-0.22667269728690442</v>
      </c>
      <c r="Q71" s="74">
        <f t="shared" si="14"/>
        <v>-4.9595766793069744</v>
      </c>
      <c r="R71" s="74">
        <f t="shared" si="14"/>
        <v>-3.902787221167614</v>
      </c>
      <c r="S71" s="74">
        <f t="shared" si="14"/>
        <v>-5.2060869990718039</v>
      </c>
      <c r="T71" s="74">
        <f t="shared" si="14"/>
        <v>-5.486150422889299</v>
      </c>
      <c r="U71" s="74">
        <f t="shared" si="14"/>
        <v>-6.5371294948500749</v>
      </c>
      <c r="V71" s="74">
        <f t="shared" si="14"/>
        <v>-4.3615697637186583</v>
      </c>
      <c r="W71" s="74">
        <f t="shared" si="14"/>
        <v>-0.66646537416190199</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Hampshire</v>
      </c>
      <c r="G76" s="88"/>
      <c r="H76" s="89"/>
      <c r="I76" s="76">
        <f>VLOOKUP($F76,'SKILLED EMPLOYMENT'!$A$1506:$BW$1841,6,FALSE)</f>
        <v>55.2</v>
      </c>
      <c r="J76" s="77">
        <f>VLOOKUP($F76,'SKILLED EMPLOYMENT'!$A$1506:$BW$1841,10,FALSE)</f>
        <v>55.4</v>
      </c>
      <c r="K76" s="77">
        <f>VLOOKUP($F76,'SKILLED EMPLOYMENT'!$A$1506:$BW$1841,14,FALSE)</f>
        <v>55</v>
      </c>
      <c r="L76" s="77">
        <f>VLOOKUP($F76,'SKILLED EMPLOYMENT'!$A$1506:$BW$1841,18,FALSE)</f>
        <v>55.9</v>
      </c>
      <c r="M76" s="77">
        <f>VLOOKUP($F76,'SKILLED EMPLOYMENT'!$A$1506:$BW$1841,22,FALSE)</f>
        <v>55.099999999999994</v>
      </c>
      <c r="N76" s="77">
        <f>VLOOKUP($F76,'SKILLED EMPLOYMENT'!$A$1506:$BW$1841,26,FALSE)</f>
        <v>54</v>
      </c>
      <c r="O76" s="77">
        <f>VLOOKUP($F76,'SKILLED EMPLOYMENT'!$A$1506:$BW$1841,30,FALSE)</f>
        <v>54.3</v>
      </c>
      <c r="P76" s="77">
        <f>VLOOKUP($F76,'SKILLED EMPLOYMENT'!$A$1506:$BW$1841,34,FALSE)</f>
        <v>58.3</v>
      </c>
      <c r="Q76" s="77">
        <f>VLOOKUP($F76,'SKILLED EMPLOYMENT'!$A$1506:$BW$1841,38,FALSE)</f>
        <v>59.099999999999994</v>
      </c>
      <c r="R76" s="77">
        <f>VLOOKUP($F76,'SKILLED EMPLOYMENT'!$A$1506:$BW$1841,42,FALSE)</f>
        <v>59.2</v>
      </c>
      <c r="S76" s="77">
        <f>VLOOKUP($F76,'SKILLED EMPLOYMENT'!$A$1506:$BW$1841,46,FALSE)</f>
        <v>60.9</v>
      </c>
      <c r="T76" s="77">
        <f>VLOOKUP($F76,'SKILLED EMPLOYMENT'!$A$1506:$BW$1841,50,FALSE)</f>
        <v>59.2</v>
      </c>
      <c r="U76" s="77">
        <f>VLOOKUP($F76,'SKILLED EMPLOYMENT'!$A$1506:$BW$1841,54,FALSE)</f>
        <v>59.400000000000006</v>
      </c>
      <c r="V76" s="77">
        <f>VLOOKUP($F76,'SKILLED EMPLOYMENT'!$A$1506:$BW$1841,58,FALSE)</f>
        <v>58.300000000000004</v>
      </c>
      <c r="W76" s="77">
        <f>VLOOKUP($F76,'SKILLED EMPLOYMENT'!$A$1506:$BW$1841,62,FALSE)</f>
        <v>59.2</v>
      </c>
      <c r="X76" s="77">
        <f>VLOOKUP($F76,'SKILLED EMPLOYMENT'!$A$1506:$BW$1841,66,FALSE)</f>
        <v>61.1</v>
      </c>
      <c r="Y76" s="77">
        <f>VLOOKUP($F76,'SKILLED EMPLOYMENT'!$A$1506:$BW$1841,70,FALSE)</f>
        <v>62.9</v>
      </c>
      <c r="Z76" s="77">
        <f>VLOOKUP($F76,'SKILLED EMPLOYMENT'!$A$1506:$BW$1841,74,FALSE)</f>
        <v>59.2</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Hampshire to Rural as a Region</v>
      </c>
      <c r="G79" s="122"/>
      <c r="H79" s="123"/>
      <c r="I79" s="74">
        <f>(I76-I77)</f>
        <v>2.5</v>
      </c>
      <c r="J79" s="74">
        <f t="shared" ref="J79:Z79" si="17">(J76-J77)</f>
        <v>2.5</v>
      </c>
      <c r="K79" s="74">
        <f t="shared" si="17"/>
        <v>1.5</v>
      </c>
      <c r="L79" s="74">
        <f t="shared" si="17"/>
        <v>1.8999999999999986</v>
      </c>
      <c r="M79" s="74">
        <f t="shared" si="17"/>
        <v>0.99999999999999289</v>
      </c>
      <c r="N79" s="74">
        <f t="shared" si="17"/>
        <v>-0.39999999999999858</v>
      </c>
      <c r="O79" s="74">
        <f t="shared" si="17"/>
        <v>-1.1000000000000014</v>
      </c>
      <c r="P79" s="74">
        <f t="shared" si="17"/>
        <v>2.6999999999999957</v>
      </c>
      <c r="Q79" s="74">
        <f t="shared" si="17"/>
        <v>3.6999999999999957</v>
      </c>
      <c r="R79" s="74">
        <f t="shared" si="17"/>
        <v>3</v>
      </c>
      <c r="S79" s="74">
        <f t="shared" si="17"/>
        <v>4.6999999999999957</v>
      </c>
      <c r="T79" s="74">
        <f t="shared" si="17"/>
        <v>2.4000000000000057</v>
      </c>
      <c r="U79" s="74">
        <f t="shared" si="17"/>
        <v>2.8000000000000043</v>
      </c>
      <c r="V79" s="74">
        <f t="shared" si="17"/>
        <v>1.2000000000000028</v>
      </c>
      <c r="W79" s="74">
        <f t="shared" si="17"/>
        <v>1.4000000000000057</v>
      </c>
      <c r="X79" s="74">
        <f t="shared" si="17"/>
        <v>2.3000000000000043</v>
      </c>
      <c r="Y79" s="74">
        <f t="shared" si="17"/>
        <v>4.1999999999999957</v>
      </c>
      <c r="Z79" s="74">
        <f t="shared" si="17"/>
        <v>0.80000000000000426</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xUZlSDRC7QRZEyqstNNNtZME9IKv1dTIIlpBEjZZZtGtfHpXjmA2Xi4l5I1cqaWj5sragjGecRIy/NEYAVf2QQ==" saltValue="funic95K7SzTPz4OiCX1L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2022-08-02T11:20:54Z</dcterms:modified>
</cp:coreProperties>
</file>