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3" documentId="8_{F44883FE-EEED-4D15-B1C6-49AE071E84F7}" xr6:coauthVersionLast="47" xr6:coauthVersionMax="47" xr10:uidLastSave="{2933D420-B118-45CD-A8B0-48B94868D4F5}"/>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<sst xmlns="http://schemas.openxmlformats.org/spreadsheetml/2006/main" count="32859" uniqueCount="1676">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</sst>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Isle of Wight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21.61</c:v>
                </c:pt>
                <c:pt idx="1">
                  <c:v>21.61</c:v>
                </c:pt>
                <c:pt idx="2">
                  <c:v>21.97</c:v>
                </c:pt>
                <c:pt idx="3">
                  <c:v>22.57</c:v>
                </c:pt>
                <c:pt idx="4">
                  <c:v>23.5</c:v>
                </c:pt>
                <c:pt idx="5">
                  <c:v>24.47</c:v>
                </c:pt>
                <c:pt idx="6">
                  <c:v>25.49</c:v>
                </c:pt>
                <c:pt idx="7">
                  <c:v>26.21</c:v>
                </c:pt>
                <c:pt idx="8">
                  <c:v>27.07</c:v>
                </c:pt>
                <c:pt idx="9">
                  <c:v>27.8</c:v>
                </c:pt>
                <c:pt idx="10">
                  <c:v>28.53</c:v>
                </c:pt>
                <c:pt idx="11">
                  <c:v>28.84</c:v>
                </c:pt>
                <c:pt idx="12">
                  <c:v>28.92</c:v>
                </c:pt>
                <c:pt idx="13">
                  <c:v>29.08</c:v>
                </c:pt>
                <c:pt idx="14">
                  <c:v>29.33</c:v>
                </c:pt>
                <c:pt idx="15">
                  <c:v>29.6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Isle of Wight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420.2</c:v>
                </c:pt>
                <c:pt idx="1">
                  <c:v>433.7</c:v>
                </c:pt>
                <c:pt idx="2">
                  <c:v>460</c:v>
                </c:pt>
                <c:pt idx="3">
                  <c:v>469.2</c:v>
                </c:pt>
                <c:pt idx="4">
                  <c:v>459.8</c:v>
                </c:pt>
                <c:pt idx="5">
                  <c:v>437.9</c:v>
                </c:pt>
                <c:pt idx="6">
                  <c:v>443.6</c:v>
                </c:pt>
                <c:pt idx="7">
                  <c:v>445.8</c:v>
                </c:pt>
                <c:pt idx="8">
                  <c:v>496.4</c:v>
                </c:pt>
                <c:pt idx="9">
                  <c:v>483.5</c:v>
                </c:pt>
                <c:pt idx="10">
                  <c:v>473.6</c:v>
                </c:pt>
                <c:pt idx="11">
                  <c:v>477.1</c:v>
                </c:pt>
                <c:pt idx="12">
                  <c:v>498.5</c:v>
                </c:pt>
                <c:pt idx="13">
                  <c:v>516.4</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Isle of Wight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74</c:v>
                </c:pt>
                <c:pt idx="1">
                  <c:v>74.5</c:v>
                </c:pt>
                <c:pt idx="2">
                  <c:v>73.099999999999994</c:v>
                </c:pt>
                <c:pt idx="3">
                  <c:v>70.400000000000006</c:v>
                </c:pt>
                <c:pt idx="4">
                  <c:v>69.5</c:v>
                </c:pt>
                <c:pt idx="5">
                  <c:v>65.3</c:v>
                </c:pt>
                <c:pt idx="6">
                  <c:v>63.5</c:v>
                </c:pt>
                <c:pt idx="7">
                  <c:v>64.8</c:v>
                </c:pt>
                <c:pt idx="8">
                  <c:v>68.900000000000006</c:v>
                </c:pt>
                <c:pt idx="9">
                  <c:v>71</c:v>
                </c:pt>
                <c:pt idx="10">
                  <c:v>70.3</c:v>
                </c:pt>
                <c:pt idx="11">
                  <c:v>72.2</c:v>
                </c:pt>
                <c:pt idx="12">
                  <c:v>74.400000000000006</c:v>
                </c:pt>
                <c:pt idx="13">
                  <c:v>72.599999999999994</c:v>
                </c:pt>
                <c:pt idx="14">
                  <c:v>72.7</c:v>
                </c:pt>
                <c:pt idx="15">
                  <c:v>73.8</c:v>
                </c:pt>
                <c:pt idx="16">
                  <c:v>73.2</c:v>
                </c:pt>
                <c:pt idx="17">
                  <c:v>66.7</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Isle of Wight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12574</c:v>
                </c:pt>
                <c:pt idx="1">
                  <c:v>13149</c:v>
                </c:pt>
                <c:pt idx="2">
                  <c:v>13765</c:v>
                </c:pt>
                <c:pt idx="3">
                  <c:v>14397</c:v>
                </c:pt>
                <c:pt idx="4">
                  <c:v>14786</c:v>
                </c:pt>
                <c:pt idx="5">
                  <c:v>15525</c:v>
                </c:pt>
                <c:pt idx="6">
                  <c:v>15820</c:v>
                </c:pt>
                <c:pt idx="7">
                  <c:v>16071</c:v>
                </c:pt>
                <c:pt idx="8">
                  <c:v>16239</c:v>
                </c:pt>
                <c:pt idx="9">
                  <c:v>16625</c:v>
                </c:pt>
                <c:pt idx="10">
                  <c:v>16628</c:v>
                </c:pt>
                <c:pt idx="11">
                  <c:v>17214</c:v>
                </c:pt>
                <c:pt idx="12">
                  <c:v>17356</c:v>
                </c:pt>
                <c:pt idx="13">
                  <c:v>17657</c:v>
                </c:pt>
                <c:pt idx="14">
                  <c:v>18508</c:v>
                </c:pt>
                <c:pt idx="15">
                  <c:v>19211</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Isle of Wight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30.5</c:v>
                </c:pt>
                <c:pt idx="1">
                  <c:v>30</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Isle of Wight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23.8</c:v>
                </c:pt>
                <c:pt idx="1">
                  <c:v>22.4</c:v>
                </c:pt>
                <c:pt idx="2">
                  <c:v>24.5</c:v>
                </c:pt>
                <c:pt idx="3">
                  <c:v>25.8</c:v>
                </c:pt>
                <c:pt idx="4">
                  <c:v>25.5</c:v>
                </c:pt>
                <c:pt idx="5">
                  <c:v>28.4</c:v>
                </c:pt>
                <c:pt idx="6">
                  <c:v>29.3</c:v>
                </c:pt>
                <c:pt idx="7">
                  <c:v>27.9</c:v>
                </c:pt>
                <c:pt idx="8">
                  <c:v>25</c:v>
                </c:pt>
                <c:pt idx="9">
                  <c:v>23</c:v>
                </c:pt>
                <c:pt idx="10">
                  <c:v>23.5</c:v>
                </c:pt>
                <c:pt idx="11">
                  <c:v>24</c:v>
                </c:pt>
                <c:pt idx="12">
                  <c:v>21.8</c:v>
                </c:pt>
                <c:pt idx="13">
                  <c:v>23.3</c:v>
                </c:pt>
                <c:pt idx="14">
                  <c:v>23.5</c:v>
                </c:pt>
                <c:pt idx="15">
                  <c:v>23.4</c:v>
                </c:pt>
                <c:pt idx="16">
                  <c:v>22.3</c:v>
                </c:pt>
                <c:pt idx="17">
                  <c:v>28.1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Isle of Wight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29.4</c:v>
                </c:pt>
                <c:pt idx="1">
                  <c:v>28.600000000000009</c:v>
                </c:pt>
                <c:pt idx="2">
                  <c:v>28.399999999999991</c:v>
                </c:pt>
                <c:pt idx="3">
                  <c:v>32.099999999999994</c:v>
                </c:pt>
                <c:pt idx="4">
                  <c:v>30.600000000000009</c:v>
                </c:pt>
                <c:pt idx="5">
                  <c:v>36.100000000000009</c:v>
                </c:pt>
                <c:pt idx="6">
                  <c:v>35.799999999999997</c:v>
                </c:pt>
                <c:pt idx="7">
                  <c:v>30</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Isle of Wight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14.393576551245157</c:v>
                </c:pt>
                <c:pt idx="1">
                  <c:v>11.688410871627859</c:v>
                </c:pt>
                <c:pt idx="2">
                  <c:v>14.381547998271426</c:v>
                </c:pt>
                <c:pt idx="3">
                  <c:v>17.964727684117744</c:v>
                </c:pt>
                <c:pt idx="4">
                  <c:v>15.364473039883741</c:v>
                </c:pt>
                <c:pt idx="5">
                  <c:v>20.641262548069719</c:v>
                </c:pt>
                <c:pt idx="6">
                  <c:v>20.259264613753555</c:v>
                </c:pt>
                <c:pt idx="7">
                  <c:v>14.211076280041798</c:v>
                </c:pt>
                <c:pt idx="8">
                  <c:v>15.209544816522961</c:v>
                </c:pt>
                <c:pt idx="9">
                  <c:v>10.703285420944558</c:v>
                </c:pt>
                <c:pt idx="10">
                  <c:v>11.71454871372511</c:v>
                </c:pt>
                <c:pt idx="11">
                  <c:v>12.362222730391036</c:v>
                </c:pt>
                <c:pt idx="12">
                  <c:v>10.767667972718039</c:v>
                </c:pt>
                <c:pt idx="13">
                  <c:v>11.502202851864133</c:v>
                </c:pt>
                <c:pt idx="14">
                  <c:v>8.8307322929171672</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Isle of Wight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48.1</c:v>
                </c:pt>
                <c:pt idx="1">
                  <c:v>49.8</c:v>
                </c:pt>
                <c:pt idx="2">
                  <c:v>52.1</c:v>
                </c:pt>
                <c:pt idx="3">
                  <c:v>52.400000000000006</c:v>
                </c:pt>
                <c:pt idx="4">
                  <c:v>50.199999999999996</c:v>
                </c:pt>
                <c:pt idx="5">
                  <c:v>48.3</c:v>
                </c:pt>
                <c:pt idx="6">
                  <c:v>48</c:v>
                </c:pt>
                <c:pt idx="7">
                  <c:v>48</c:v>
                </c:pt>
                <c:pt idx="8">
                  <c:v>50.199999999999996</c:v>
                </c:pt>
                <c:pt idx="9">
                  <c:v>52.300000000000004</c:v>
                </c:pt>
                <c:pt idx="10">
                  <c:v>49.5</c:v>
                </c:pt>
                <c:pt idx="11">
                  <c:v>52.3</c:v>
                </c:pt>
                <c:pt idx="12">
                  <c:v>51.800000000000004</c:v>
                </c:pt>
                <c:pt idx="13">
                  <c:v>51.300000000000004</c:v>
                </c:pt>
                <c:pt idx="14">
                  <c:v>51.2</c:v>
                </c:pt>
                <c:pt idx="15">
                  <c:v>53.900000000000006</c:v>
                </c:pt>
                <c:pt idx="16">
                  <c:v>53.099999999999994</c:v>
                </c:pt>
                <c:pt idx="17">
                  <c:v>53.2</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the Isle of Wight,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the Isle of Wight,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Isle of Wight's economic inactivity rate from 2004 to 2021has consistently been greater than the England and rural situations</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the Isle of Wight moves from being in line with the England and rural situations to being greater than during the years 2014 to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the Isle of Wight has been very similar to or above that of England during the period 2006 to 2020.</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Isle of Wight in general has a lower proportion of employed people in skilled employment than seen for either 'Rural as a Region' or England.</a:t>
          </a:r>
          <a:endParaRPr lang="en-GB" sz="1100">
            <a:latin typeface="Avenir Next LT Pro" panose="020B0504020202020204" pitchFamily="34" charset="0"/>
          </a:endParaRPr>
        </a:p>
      </xdr:txBody>
    </xdr:sp>
    <xdr:clientData/>
  </xdr:twoCellAnchor>
  <xdr:twoCellAnchor>
    <xdr:from>
      <xdr:col>0</xdr:col>
      <xdr:colOff>609600</xdr:colOff>
      <xdr:row>20</xdr:row>
      <xdr:rowOff>617220</xdr:rowOff>
    </xdr:from>
    <xdr:to>
      <xdr:col>1</xdr:col>
      <xdr:colOff>2590800</xdr:colOff>
      <xdr:row>22</xdr:row>
      <xdr:rowOff>144780</xdr:rowOff>
    </xdr:to>
    <xdr:sp macro="" textlink="">
      <xdr:nvSpPr>
        <xdr:cNvPr id="20" name="TextBox 19">
          <a:extLst>
            <a:ext uri="{FF2B5EF4-FFF2-40B4-BE49-F238E27FC236}">
              <a16:creationId xmlns:a16="http://schemas.microsoft.com/office/drawing/2014/main" id="{9FC529D8-1322-43C1-8E23-70AE9D9EEEDE}"/>
            </a:ext>
          </a:extLst>
        </xdr:cNvPr>
        <xdr:cNvSpPr txBox="1"/>
      </xdr:nvSpPr>
      <xdr:spPr>
        <a:xfrm>
          <a:off x="609600" y="75438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the Isle of Wight has fluctuated a little over the years and follows a similar path to 'Rural as a Region', but overall the gap to rural has increased from 2008 to 2021.</a:t>
          </a:r>
          <a:endParaRPr lang="en-GB" sz="1100">
            <a:latin typeface="Avenir Next LT Pro" panose="020B0504020202020204" pitchFamily="34" charset="0"/>
          </a:endParaRPr>
        </a:p>
      </xdr:txBody>
    </xdr:sp>
    <xdr:clientData/>
  </xdr:twoCellAnchor>
  <xdr:twoCellAnchor>
    <xdr:from>
      <xdr:col>0</xdr:col>
      <xdr:colOff>678180</xdr:colOff>
      <xdr:row>28</xdr:row>
      <xdr:rowOff>541020</xdr:rowOff>
    </xdr:from>
    <xdr:to>
      <xdr:col>1</xdr:col>
      <xdr:colOff>2659380</xdr:colOff>
      <xdr:row>30</xdr:row>
      <xdr:rowOff>106680</xdr:rowOff>
    </xdr:to>
    <xdr:sp macro="" textlink="">
      <xdr:nvSpPr>
        <xdr:cNvPr id="21" name="TextBox 20">
          <a:extLst>
            <a:ext uri="{FF2B5EF4-FFF2-40B4-BE49-F238E27FC236}">
              <a16:creationId xmlns:a16="http://schemas.microsoft.com/office/drawing/2014/main" id="{FD33B75B-D355-449F-8BE9-A7907622864E}"/>
            </a:ext>
          </a:extLst>
        </xdr:cNvPr>
        <xdr:cNvSpPr txBox="1"/>
      </xdr:nvSpPr>
      <xdr:spPr>
        <a:xfrm>
          <a:off x="678180" y="11407140"/>
          <a:ext cx="6682740" cy="8610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the Isle of Wight is from 2004 to 2021 generally in line with the England situation, however from 2019 to 2021 it does appear to be dropping below England's position.</a:t>
          </a:r>
          <a:endParaRPr lang="en-GB" sz="1100">
            <a:latin typeface="Avenir Next LT Pro" panose="020B0504020202020204" pitchFamily="34" charset="0"/>
          </a:endParaRPr>
        </a:p>
      </xdr:txBody>
    </xdr:sp>
    <xdr:clientData/>
  </xdr:twoCellAnchor>
  <xdr:twoCellAnchor>
    <xdr:from>
      <xdr:col>0</xdr:col>
      <xdr:colOff>586740</xdr:colOff>
      <xdr:row>12</xdr:row>
      <xdr:rowOff>464820</xdr:rowOff>
    </xdr:from>
    <xdr:to>
      <xdr:col>1</xdr:col>
      <xdr:colOff>2567940</xdr:colOff>
      <xdr:row>13</xdr:row>
      <xdr:rowOff>617220</xdr:rowOff>
    </xdr:to>
    <xdr:sp macro="" textlink="">
      <xdr:nvSpPr>
        <xdr:cNvPr id="22" name="TextBox 21">
          <a:extLst>
            <a:ext uri="{FF2B5EF4-FFF2-40B4-BE49-F238E27FC236}">
              <a16:creationId xmlns:a16="http://schemas.microsoft.com/office/drawing/2014/main" id="{01953468-44CA-4A91-8057-EC7F46D5AD1E}"/>
            </a:ext>
          </a:extLst>
        </xdr:cNvPr>
        <xdr:cNvSpPr txBox="1"/>
      </xdr:nvSpPr>
      <xdr:spPr>
        <a:xfrm>
          <a:off x="586740" y="345186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the Isle of Wight roughly follows a similar path to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184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Isle of Wight</v>
      </c>
      <c r="G12" s="88" t="str">
        <f>IFERROR(VLOOKUP(F12,GVA!B244:B552,1,FALSE),VLOOKUP(F12,GVA!B6:C230,2,FALSE))</f>
        <v>Isle of Wight</v>
      </c>
      <c r="H12" s="89" t="str">
        <f>IF(F12=G12,"",G12)</f>
        <v/>
      </c>
      <c r="I12" s="76">
        <f>IFERROR(VLOOKUP($F12,GVA!$B$7:$S$230,GVA!D$3,FALSE),VLOOKUP($F12,GVA!$B$244:$T$554,GVA!E$3,FALSE))</f>
        <v>21.61</v>
      </c>
      <c r="J12" s="77">
        <f>IFERROR(VLOOKUP($F12,GVA!$B$7:$S$230,GVA!E$3,FALSE),VLOOKUP($F12,GVA!$B$244:$T$554,GVA!F$3,FALSE))</f>
        <v>21.61</v>
      </c>
      <c r="K12" s="77">
        <f>IFERROR(VLOOKUP($F12,GVA!$B$7:$S$230,GVA!F$3,FALSE),VLOOKUP($F12,GVA!$B$244:$T$554,GVA!G$3,FALSE))</f>
        <v>21.97</v>
      </c>
      <c r="L12" s="77">
        <f>IFERROR(VLOOKUP($F12,GVA!$B$7:$S$230,GVA!G$3,FALSE),VLOOKUP($F12,GVA!$B$244:$T$554,GVA!H$3,FALSE))</f>
        <v>22.57</v>
      </c>
      <c r="M12" s="77">
        <f>IFERROR(VLOOKUP($F12,GVA!$B$7:$S$230,GVA!H$3,FALSE),VLOOKUP($F12,GVA!$B$244:$T$554,GVA!I$3,FALSE))</f>
        <v>23.5</v>
      </c>
      <c r="N12" s="77">
        <f>IFERROR(VLOOKUP($F12,GVA!$B$7:$S$230,GVA!I$3,FALSE),VLOOKUP($F12,GVA!$B$244:$T$554,GVA!J$3,FALSE))</f>
        <v>24.47</v>
      </c>
      <c r="O12" s="77">
        <f>IFERROR(VLOOKUP($F12,GVA!$B$7:$S$230,GVA!J$3,FALSE),VLOOKUP($F12,GVA!$B$244:$T$554,GVA!K$3,FALSE))</f>
        <v>25.49</v>
      </c>
      <c r="P12" s="77">
        <f>IFERROR(VLOOKUP($F12,GVA!$B$7:$S$230,GVA!K$3,FALSE),VLOOKUP($F12,GVA!$B$244:$T$554,GVA!L$3,FALSE))</f>
        <v>26.21</v>
      </c>
      <c r="Q12" s="77">
        <f>IFERROR(VLOOKUP($F12,GVA!$B$7:$S$230,GVA!L$3,FALSE),VLOOKUP($F12,GVA!$B$244:$T$554,GVA!M$3,FALSE))</f>
        <v>27.07</v>
      </c>
      <c r="R12" s="77">
        <f>IFERROR(VLOOKUP($F12,GVA!$B$7:$S$230,GVA!M$3,FALSE),VLOOKUP($F12,GVA!$B$244:$T$554,GVA!N$3,FALSE))</f>
        <v>27.8</v>
      </c>
      <c r="S12" s="77">
        <f>IFERROR(VLOOKUP($F12,GVA!$B$7:$S$230,GVA!N$3,FALSE),VLOOKUP($F12,GVA!$B$244:$T$554,GVA!O$3,FALSE))</f>
        <v>28.53</v>
      </c>
      <c r="T12" s="77">
        <f>IFERROR(VLOOKUP($F12,GVA!$B$7:$S$230,GVA!O$3,FALSE),VLOOKUP($F12,GVA!$B$244:$T$554,GVA!P$3,FALSE))</f>
        <v>28.84</v>
      </c>
      <c r="U12" s="77">
        <f>IFERROR(VLOOKUP($F12,GVA!$B$7:$S$230,GVA!P$3,FALSE),VLOOKUP($F12,GVA!$B$244:$T$554,GVA!Q$3,FALSE))</f>
        <v>28.92</v>
      </c>
      <c r="V12" s="77">
        <f>IFERROR(VLOOKUP($F12,GVA!$B$7:$S$230,GVA!Q$3,FALSE),VLOOKUP($F12,GVA!$B$244:$T$554,GVA!R$3,FALSE))</f>
        <v>29.08</v>
      </c>
      <c r="W12" s="77">
        <f>IFERROR(VLOOKUP($F12,GVA!$B$7:$S$230,GVA!R$3,FALSE),VLOOKUP($F12,GVA!$B$244:$T$554,GVA!S$3,FALSE))</f>
        <v>29.33</v>
      </c>
      <c r="X12" s="77">
        <f>IFERROR(VLOOKUP($F12,GVA!$B$7:$S$230,GVA!S$3,FALSE),VLOOKUP($F12,GVA!$B$244:$T$554,GVA!T$3,FALSE))</f>
        <v>29.6</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Isle of Wight to Rural as a Region</v>
      </c>
      <c r="G15" s="102"/>
      <c r="H15" s="103"/>
      <c r="I15" s="74">
        <f>100*((I12-I13)/I13)</f>
        <v>-8.1992747942974358</v>
      </c>
      <c r="J15" s="74">
        <f t="shared" ref="J15:X15" si="0">100*((J12-J13)/J13)</f>
        <v>-7.9436882568919049</v>
      </c>
      <c r="K15" s="74">
        <f t="shared" si="0"/>
        <v>-9.6030917987980171</v>
      </c>
      <c r="L15" s="74">
        <f t="shared" si="0"/>
        <v>-9.1332604819693071</v>
      </c>
      <c r="M15" s="74">
        <f t="shared" si="0"/>
        <v>-6.984634087728459</v>
      </c>
      <c r="N15" s="74">
        <f t="shared" si="0"/>
        <v>-3.9365147613461717</v>
      </c>
      <c r="O15" s="74">
        <f t="shared" si="0"/>
        <v>-1.1636977986216344</v>
      </c>
      <c r="P15" s="74">
        <f t="shared" si="0"/>
        <v>0.13508166300538105</v>
      </c>
      <c r="Q15" s="74">
        <f t="shared" si="0"/>
        <v>1.3450996122476153</v>
      </c>
      <c r="R15" s="74">
        <f t="shared" si="0"/>
        <v>2.3039415406047938</v>
      </c>
      <c r="S15" s="74">
        <f t="shared" si="0"/>
        <v>3.2773532948066246</v>
      </c>
      <c r="T15" s="74">
        <f t="shared" si="0"/>
        <v>2.4580873272318331</v>
      </c>
      <c r="U15" s="74">
        <f t="shared" si="0"/>
        <v>0.28774186623515147</v>
      </c>
      <c r="V15" s="74">
        <f t="shared" si="0"/>
        <v>-1.825854550569695</v>
      </c>
      <c r="W15" s="74">
        <f t="shared" si="0"/>
        <v>-2.9913099630269242</v>
      </c>
      <c r="X15" s="74">
        <f t="shared" si="0"/>
        <v>-3.1138093215550846</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Isle of Wight</v>
      </c>
      <c r="G20" s="88"/>
      <c r="H20" s="89"/>
      <c r="I20" s="80">
        <f>IF(VLOOKUP($F20,PAY!$A$11:$AE$349,4,FALSE)="-",#N/A,VLOOKUP($F20,PAY!$A$11:$AE$349,4,FALSE))</f>
        <v>420.2</v>
      </c>
      <c r="J20" s="80">
        <f>IF(VLOOKUP($F20,PAY!$A$11:$AE$349,6,FALSE)="-",#N/A,VLOOKUP($F20,PAY!$A$11:$AE$349,6,FALSE))</f>
        <v>433.7</v>
      </c>
      <c r="K20" s="80">
        <f>IF(VLOOKUP($F20,PAY!$A$11:$AE$349,8,FALSE)="-",#N/A,VLOOKUP($F20,PAY!$A$11:$AE$349,8,FALSE))</f>
        <v>460</v>
      </c>
      <c r="L20" s="80">
        <f>IF(VLOOKUP($F20,PAY!$A$11:$AE$349,10,FALSE)="-",#N/A,VLOOKUP($F20,PAY!$A$11:$AE$349,10,FALSE))</f>
        <v>469.2</v>
      </c>
      <c r="M20" s="80">
        <f>IF(VLOOKUP($F20,PAY!$A$11:$AE$349,12,FALSE)="-",#N/A,VLOOKUP($F20,PAY!$A$11:$AE$349,12,FALSE))</f>
        <v>459.8</v>
      </c>
      <c r="N20" s="80">
        <f>IF(VLOOKUP($F20,PAY!$A$11:$AE$349,14,FALSE)="-",#N/A,VLOOKUP($F20,PAY!$A$11:$AE$349,14,FALSE))</f>
        <v>437.9</v>
      </c>
      <c r="O20" s="80">
        <f>IF(VLOOKUP($F20,PAY!$A$11:$AE$349,16,FALSE)="-",#N/A,VLOOKUP($F20,PAY!$A$11:$AE$349,16,FALSE))</f>
        <v>443.6</v>
      </c>
      <c r="P20" s="80">
        <f>IF(VLOOKUP($F20,PAY!$A$11:$AE$349,18,FALSE)="-",#N/A,VLOOKUP($F20,PAY!$A$11:$AE$349,18,FALSE))</f>
        <v>445.8</v>
      </c>
      <c r="Q20" s="80">
        <f>IF(VLOOKUP($F20,PAY!$A$11:$AE$349,20,FALSE)="-",#N/A,VLOOKUP($F20,PAY!$A$11:$AE$349,20,FALSE))</f>
        <v>496.4</v>
      </c>
      <c r="R20" s="80">
        <f>IF(VLOOKUP($F20,PAY!$A$11:$AE$349,22,FALSE)="-",#N/A,VLOOKUP($F20,PAY!$A$11:$AE$349,22,FALSE))</f>
        <v>483.5</v>
      </c>
      <c r="S20" s="80">
        <f>IF(VLOOKUP($F20,PAY!$A$11:$AE$349,24,FALSE)="-",#N/A,VLOOKUP($F20,PAY!$A$11:$AE$349,24,FALSE))</f>
        <v>473.6</v>
      </c>
      <c r="T20" s="80">
        <f>IF(VLOOKUP($F20,PAY!$A$11:$AE$349,26,FALSE)="-",#N/A,VLOOKUP($F20,PAY!$A$11:$AE$349,26,FALSE))</f>
        <v>477.1</v>
      </c>
      <c r="U20" s="80">
        <f>IF(VLOOKUP($F20,PAY!$A$11:$AE$349,28,FALSE)="-",#N/A,VLOOKUP($F20,PAY!$A$11:$AE$349,28,FALSE))</f>
        <v>498.5</v>
      </c>
      <c r="V20" s="80">
        <f>IF(VLOOKUP($F20,PAY!$A$11:$AE$349,30,FALSE)="-",#N/A,VLOOKUP($F20,PAY!$A$11:$AE$349,30,FALSE))</f>
        <v>516.4</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Isle of Wight to Rural as a Region</v>
      </c>
      <c r="G23" s="102"/>
      <c r="H23" s="103"/>
      <c r="I23" s="74">
        <f>100*((I20-I21)/I21)</f>
        <v>-2.9544178867112594</v>
      </c>
      <c r="J23" s="74">
        <f t="shared" ref="J23:V23" si="2">100*((J20-J21)/J21)</f>
        <v>-0.73811294844653486</v>
      </c>
      <c r="K23" s="74">
        <f t="shared" si="2"/>
        <v>2.6527574157718896</v>
      </c>
      <c r="L23" s="74">
        <f t="shared" si="2"/>
        <v>4.1155453687474894</v>
      </c>
      <c r="M23" s="74">
        <f t="shared" si="2"/>
        <v>1.0009954343485918</v>
      </c>
      <c r="N23" s="74">
        <f t="shared" si="2"/>
        <v>-5.4563193825736702</v>
      </c>
      <c r="O23" s="74">
        <f t="shared" si="2"/>
        <v>-5.777906832932719</v>
      </c>
      <c r="P23" s="74">
        <f t="shared" si="2"/>
        <v>-6.1120900858150575</v>
      </c>
      <c r="Q23" s="74">
        <f t="shared" si="2"/>
        <v>1.4132731302254093</v>
      </c>
      <c r="R23" s="74">
        <f t="shared" si="2"/>
        <v>-4.0783013774311918</v>
      </c>
      <c r="S23" s="74">
        <f t="shared" si="2"/>
        <v>-7.93615422363089</v>
      </c>
      <c r="T23" s="74">
        <f t="shared" si="2"/>
        <v>-10.605009513569929</v>
      </c>
      <c r="U23" s="74">
        <f t="shared" si="2"/>
        <v>-6.1290468952060806</v>
      </c>
      <c r="V23" s="74">
        <f t="shared" si="2"/>
        <v>-8.4809675208346569</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Isle of Wight</v>
      </c>
      <c r="G28" s="88"/>
      <c r="H28" s="89"/>
      <c r="I28" s="76">
        <f>VLOOKUP($F28,EMPLOYMENT!$A$6:$BW$345,6,FALSE)</f>
        <v>74</v>
      </c>
      <c r="J28" s="77">
        <f>VLOOKUP($F28,EMPLOYMENT!$A$6:$BW$345,10,FALSE)</f>
        <v>74.5</v>
      </c>
      <c r="K28" s="77">
        <f>VLOOKUP($F28,EMPLOYMENT!$A$6:$BW$345,14,FALSE)</f>
        <v>73.099999999999994</v>
      </c>
      <c r="L28" s="77">
        <f>VLOOKUP($F28,EMPLOYMENT!$A$6:$BW$345,18,FALSE)</f>
        <v>70.400000000000006</v>
      </c>
      <c r="M28" s="77">
        <f>VLOOKUP($F28,EMPLOYMENT!$A$6:$BW$345,22,FALSE)</f>
        <v>69.5</v>
      </c>
      <c r="N28" s="77">
        <f>VLOOKUP($F28,EMPLOYMENT!$A$6:$BW$345,26,FALSE)</f>
        <v>65.3</v>
      </c>
      <c r="O28" s="77">
        <f>VLOOKUP($F28,EMPLOYMENT!$A$6:$BW$345,30,FALSE)</f>
        <v>63.5</v>
      </c>
      <c r="P28" s="77">
        <f>VLOOKUP($F28,EMPLOYMENT!$A$6:$BW$345,34,FALSE)</f>
        <v>64.8</v>
      </c>
      <c r="Q28" s="77">
        <f>VLOOKUP($F28,EMPLOYMENT!$A$6:$BW$345,38,FALSE)</f>
        <v>68.900000000000006</v>
      </c>
      <c r="R28" s="77">
        <f>VLOOKUP($F28,EMPLOYMENT!$A$6:$BW$345,42,FALSE)</f>
        <v>71</v>
      </c>
      <c r="S28" s="77">
        <f>VLOOKUP($F28,EMPLOYMENT!$A$6:$BW$345,46,FALSE)</f>
        <v>70.3</v>
      </c>
      <c r="T28" s="77">
        <f>VLOOKUP($F28,EMPLOYMENT!$A$6:$BW$345,50,FALSE)</f>
        <v>72.2</v>
      </c>
      <c r="U28" s="77">
        <f>VLOOKUP($F28,EMPLOYMENT!$A$6:$BW$345,54,FALSE)</f>
        <v>74.400000000000006</v>
      </c>
      <c r="V28" s="77">
        <f>VLOOKUP($F28,EMPLOYMENT!$A$6:$BW$345,58,FALSE)</f>
        <v>72.599999999999994</v>
      </c>
      <c r="W28" s="77">
        <f>VLOOKUP($F28,EMPLOYMENT!$A$6:$BW$345,62,FALSE)</f>
        <v>72.7</v>
      </c>
      <c r="X28" s="77">
        <f>VLOOKUP($F28,EMPLOYMENT!$A$6:$BW$345,66,FALSE)</f>
        <v>73.8</v>
      </c>
      <c r="Y28" s="77">
        <f>VLOOKUP($F28,EMPLOYMENT!$A$6:$BW$345,70,FALSE)</f>
        <v>73.2</v>
      </c>
      <c r="Z28" s="77">
        <f>VLOOKUP($F28,EMPLOYMENT!$A$6:$BW$345,74,FALSE)</f>
        <v>66.7</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Isle of Wight to Rural as a Region</v>
      </c>
      <c r="G31" s="102"/>
      <c r="H31" s="103"/>
      <c r="I31" s="74">
        <f>(I28-I29)</f>
        <v>-2.1113419194017382</v>
      </c>
      <c r="J31" s="74">
        <f t="shared" ref="J31:Z31" si="4">(J28-J29)</f>
        <v>-1.8129754666829569</v>
      </c>
      <c r="K31" s="74">
        <f t="shared" si="4"/>
        <v>-2.7731888994867688</v>
      </c>
      <c r="L31" s="74">
        <f t="shared" si="4"/>
        <v>-5.240468302627832</v>
      </c>
      <c r="M31" s="74">
        <f t="shared" si="4"/>
        <v>-6.2355243733317423</v>
      </c>
      <c r="N31" s="74">
        <f t="shared" si="4"/>
        <v>-9.2095398428731841</v>
      </c>
      <c r="O31" s="74">
        <f t="shared" si="4"/>
        <v>-10.047133138969869</v>
      </c>
      <c r="P31" s="74">
        <f t="shared" si="4"/>
        <v>-8.9342954032776163</v>
      </c>
      <c r="Q31" s="74">
        <f t="shared" si="4"/>
        <v>-5.1331574754625677</v>
      </c>
      <c r="R31" s="74">
        <f t="shared" si="4"/>
        <v>-3.7444749299002069</v>
      </c>
      <c r="S31" s="74">
        <f t="shared" si="4"/>
        <v>-5.8088603400756114</v>
      </c>
      <c r="T31" s="74">
        <f t="shared" si="4"/>
        <v>-4.9905319756090165</v>
      </c>
      <c r="U31" s="74">
        <f t="shared" si="4"/>
        <v>-2.5716324817080363</v>
      </c>
      <c r="V31" s="74">
        <f t="shared" si="4"/>
        <v>-5.4327868852459034</v>
      </c>
      <c r="W31" s="74">
        <f t="shared" si="4"/>
        <v>-5.3481568934141421</v>
      </c>
      <c r="X31" s="74">
        <f t="shared" si="4"/>
        <v>-4.7912993789567082</v>
      </c>
      <c r="Y31" s="74">
        <f t="shared" si="4"/>
        <v>-3.8143462961292016</v>
      </c>
      <c r="Z31" s="74">
        <f t="shared" si="4"/>
        <v>-9.4557580778790395</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Isle of Wight</v>
      </c>
      <c r="G36" s="88" t="str">
        <f>IFERROR(VLOOKUP(F36,GDHI!B338:C574,2,FALSE),VLOOKUP(F36,GDHI!C3:C336,1,FALSE))</f>
        <v>Isle of Wight</v>
      </c>
      <c r="H36" s="89" t="str">
        <f>IF(F36=G36,"",G36)</f>
        <v/>
      </c>
      <c r="I36" s="83">
        <f>IFERROR(VLOOKUP($F36,GDHI!$B$338:$U$574,GDHI!G$578,FALSE),VLOOKUP($F36,GDHI!$C$3:$U$336,GDHI!F$578,FALSE))</f>
        <v>12574</v>
      </c>
      <c r="J36" s="84">
        <f>IFERROR(VLOOKUP($F36,GDHI!$B$338:$U$574,GDHI!H$578,FALSE),VLOOKUP($F36,GDHI!$C$3:$U$336,GDHI!G$578,FALSE))</f>
        <v>13149</v>
      </c>
      <c r="K36" s="84">
        <f>IFERROR(VLOOKUP($F36,GDHI!$B$338:$U$574,GDHI!I$578,FALSE),VLOOKUP($F36,GDHI!$C$3:$U$336,GDHI!H$578,FALSE))</f>
        <v>13765</v>
      </c>
      <c r="L36" s="84">
        <f>IFERROR(VLOOKUP($F36,GDHI!$B$338:$U$574,GDHI!J$578,FALSE),VLOOKUP($F36,GDHI!$C$3:$U$336,GDHI!I$578,FALSE))</f>
        <v>14397</v>
      </c>
      <c r="M36" s="84">
        <f>IFERROR(VLOOKUP($F36,GDHI!$B$338:$U$574,GDHI!K$578,FALSE),VLOOKUP($F36,GDHI!$C$3:$U$336,GDHI!J$578,FALSE))</f>
        <v>14786</v>
      </c>
      <c r="N36" s="84">
        <f>IFERROR(VLOOKUP($F36,GDHI!$B$338:$U$574,GDHI!L$578,FALSE),VLOOKUP($F36,GDHI!$C$3:$U$336,GDHI!K$578,FALSE))</f>
        <v>15525</v>
      </c>
      <c r="O36" s="84">
        <f>IFERROR(VLOOKUP($F36,GDHI!$B$338:$U$574,GDHI!M$578,FALSE),VLOOKUP($F36,GDHI!$C$3:$U$336,GDHI!L$578,FALSE))</f>
        <v>15820</v>
      </c>
      <c r="P36" s="84">
        <f>IFERROR(VLOOKUP($F36,GDHI!$B$338:$U$574,GDHI!N$578,FALSE),VLOOKUP($F36,GDHI!$C$3:$U$336,GDHI!M$578,FALSE))</f>
        <v>16071</v>
      </c>
      <c r="Q36" s="84">
        <f>IFERROR(VLOOKUP($F36,GDHI!$B$338:$U$574,GDHI!O$578,FALSE),VLOOKUP($F36,GDHI!$C$3:$U$336,GDHI!N$578,FALSE))</f>
        <v>16239</v>
      </c>
      <c r="R36" s="84">
        <f>IFERROR(VLOOKUP($F36,GDHI!$B$338:$U$574,GDHI!P$578,FALSE),VLOOKUP($F36,GDHI!$C$3:$U$336,GDHI!O$578,FALSE))</f>
        <v>16625</v>
      </c>
      <c r="S36" s="84">
        <f>IFERROR(VLOOKUP($F36,GDHI!$B$338:$U$574,GDHI!Q$578,FALSE),VLOOKUP($F36,GDHI!$C$3:$U$336,GDHI!P$578,FALSE))</f>
        <v>16628</v>
      </c>
      <c r="T36" s="84">
        <f>IFERROR(VLOOKUP($F36,GDHI!$B$338:$U$574,GDHI!R$578,FALSE),VLOOKUP($F36,GDHI!$C$3:$U$336,GDHI!Q$578,FALSE))</f>
        <v>17214</v>
      </c>
      <c r="U36" s="84">
        <f>IFERROR(VLOOKUP($F36,GDHI!$B$338:$U$574,GDHI!S$578,FALSE),VLOOKUP($F36,GDHI!$C$3:$U$336,GDHI!R$578,FALSE))</f>
        <v>17356</v>
      </c>
      <c r="V36" s="84">
        <f>IFERROR(VLOOKUP($F36,GDHI!$B$338:$U$574,GDHI!T$578,FALSE),VLOOKUP($F36,GDHI!$C$3:$U$336,GDHI!S$578,FALSE))</f>
        <v>17657</v>
      </c>
      <c r="W36" s="84">
        <f>IFERROR(VLOOKUP($F36,GDHI!$B$338:$U$574,GDHI!U$578,FALSE),VLOOKUP($F36,GDHI!$C$3:$U$336,GDHI!T$578,FALSE))</f>
        <v>18508</v>
      </c>
      <c r="X36" s="84">
        <f>IFERROR(VLOOKUP($F36,GDHI!$B$338:$U$574,GDHI!V$578,FALSE),VLOOKUP($F36,GDHI!$C$3:$U$336,GDHI!U$578,FALSE))</f>
        <v>19211</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Isle of Wight to Rural as a Region</v>
      </c>
      <c r="G39" s="102"/>
      <c r="H39" s="103"/>
      <c r="I39" s="74">
        <f>100*((I36-I37)/I37)</f>
        <v>-14.517828614160916</v>
      </c>
      <c r="J39" s="74">
        <f t="shared" ref="J39:X39" si="6">100*((J36-J37)/J37)</f>
        <v>-14.290968827816975</v>
      </c>
      <c r="K39" s="74">
        <f t="shared" si="6"/>
        <v>-13.55912056464002</v>
      </c>
      <c r="L39" s="74">
        <f t="shared" si="6"/>
        <v>-13.104509720656427</v>
      </c>
      <c r="M39" s="74">
        <f t="shared" si="6"/>
        <v>-13.346538079693124</v>
      </c>
      <c r="N39" s="74">
        <f t="shared" si="6"/>
        <v>-10.223357347661622</v>
      </c>
      <c r="O39" s="74">
        <f t="shared" si="6"/>
        <v>-9.6408767462338538</v>
      </c>
      <c r="P39" s="74">
        <f t="shared" si="6"/>
        <v>-9.7137246823844734</v>
      </c>
      <c r="Q39" s="74">
        <f t="shared" si="6"/>
        <v>-11.582901967494907</v>
      </c>
      <c r="R39" s="74">
        <f t="shared" si="6"/>
        <v>-11.915585296178724</v>
      </c>
      <c r="S39" s="74">
        <f t="shared" si="6"/>
        <v>-14.271141562432673</v>
      </c>
      <c r="T39" s="74">
        <f t="shared" si="6"/>
        <v>-15.858346397036483</v>
      </c>
      <c r="U39" s="74">
        <f t="shared" si="6"/>
        <v>-15.849308395074846</v>
      </c>
      <c r="V39" s="74">
        <f t="shared" si="6"/>
        <v>-15.780639497677873</v>
      </c>
      <c r="W39" s="74">
        <f t="shared" si="6"/>
        <v>-15.26370810119049</v>
      </c>
      <c r="X39" s="74">
        <f t="shared" si="6"/>
        <v>-13.717103029454028</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Isle of Wight</v>
      </c>
      <c r="G44" s="88"/>
      <c r="H44" s="89"/>
      <c r="I44" s="76">
        <f>VLOOKUP($F44,'LOW PAID'!$A$9:$N$444,6,FALSE)</f>
        <v>30.5</v>
      </c>
      <c r="J44" s="77">
        <f>VLOOKUP($F44,'LOW PAID'!$P$9:$W$444,6,FALSE)</f>
        <v>30</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Isle of Wight to Rural as a Region</v>
      </c>
      <c r="G47" s="102"/>
      <c r="H47" s="103"/>
      <c r="I47" s="74">
        <f>(I44-I45)</f>
        <v>5.3061253217868831</v>
      </c>
      <c r="J47" s="74">
        <f>(J44-J45)</f>
        <v>4.3138834909699462</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Isle of Wight</v>
      </c>
      <c r="G52" s="88"/>
      <c r="H52" s="89"/>
      <c r="I52" s="76">
        <f>VLOOKUP($F52,INACTIVITY!$A$6:$BW$345,6,FALSE)</f>
        <v>23.8</v>
      </c>
      <c r="J52" s="77">
        <f>VLOOKUP($F52,INACTIVITY!$A$6:$BW$345,10,FALSE)</f>
        <v>22.4</v>
      </c>
      <c r="K52" s="77">
        <f>VLOOKUP($F52,INACTIVITY!$A$6:$BW$345,14,FALSE)</f>
        <v>24.5</v>
      </c>
      <c r="L52" s="77">
        <f>VLOOKUP($F52,INACTIVITY!$A$6:$BW$345,18,FALSE)</f>
        <v>25.8</v>
      </c>
      <c r="M52" s="77">
        <f>VLOOKUP($F52,INACTIVITY!$A$6:$BW$345,22,FALSE)</f>
        <v>25.5</v>
      </c>
      <c r="N52" s="77">
        <f>VLOOKUP($F52,INACTIVITY!$A$6:$BW$345,26,FALSE)</f>
        <v>28.4</v>
      </c>
      <c r="O52" s="77">
        <f>VLOOKUP($F52,INACTIVITY!$A$6:$BW$345,30,FALSE)</f>
        <v>29.3</v>
      </c>
      <c r="P52" s="77">
        <f>VLOOKUP($F52,INACTIVITY!$A$6:$BW$345,34,FALSE)</f>
        <v>27.9</v>
      </c>
      <c r="Q52" s="77">
        <f>VLOOKUP($F52,INACTIVITY!$A$6:$BW$345,38,FALSE)</f>
        <v>25</v>
      </c>
      <c r="R52" s="77">
        <f>VLOOKUP($F52,INACTIVITY!$A$6:$BW$345,42,FALSE)</f>
        <v>23</v>
      </c>
      <c r="S52" s="77">
        <f>VLOOKUP($F52,INACTIVITY!$A$6:$BW$345,46,FALSE)</f>
        <v>23.5</v>
      </c>
      <c r="T52" s="77">
        <f>VLOOKUP($F52,INACTIVITY!$A$6:$BW$345,50,FALSE)</f>
        <v>24</v>
      </c>
      <c r="U52" s="77">
        <f>VLOOKUP($F52,INACTIVITY!$A$6:$BW$345,54,FALSE)</f>
        <v>21.8</v>
      </c>
      <c r="V52" s="77">
        <f>VLOOKUP($F52,INACTIVITY!$A$6:$BW$345,58,FALSE)</f>
        <v>23.3</v>
      </c>
      <c r="W52" s="77">
        <f>VLOOKUP($F52,INACTIVITY!$A$6:$BW$345,62,FALSE)</f>
        <v>23.5</v>
      </c>
      <c r="X52" s="77">
        <f>VLOOKUP($F52,INACTIVITY!$A$6:$BW$345,66,FALSE)</f>
        <v>23.4</v>
      </c>
      <c r="Y52" s="77">
        <f>VLOOKUP($F52,INACTIVITY!$A$6:$BW$345,70,FALSE)</f>
        <v>22.3</v>
      </c>
      <c r="Z52" s="77">
        <f>VLOOKUP($F52,INACTIVITY!$A$6:$BW$345,74,FALSE)</f>
        <v>28.1</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Isle of Wight to Rural as a Region</v>
      </c>
      <c r="G55" s="102"/>
      <c r="H55" s="103"/>
      <c r="I55" s="74">
        <f>(I52-I53)</f>
        <v>2.4043554283897635</v>
      </c>
      <c r="J55" s="74">
        <f t="shared" ref="J55:Z55" si="10">(J52-J53)</f>
        <v>1.391477272727272</v>
      </c>
      <c r="K55" s="74">
        <f t="shared" si="10"/>
        <v>3.6375346065412231</v>
      </c>
      <c r="L55" s="74">
        <f t="shared" si="10"/>
        <v>4.4859346684633614</v>
      </c>
      <c r="M55" s="74">
        <f t="shared" si="10"/>
        <v>4.6649976891079952</v>
      </c>
      <c r="N55" s="74">
        <f t="shared" si="10"/>
        <v>7.4668562420795581</v>
      </c>
      <c r="O55" s="74">
        <f t="shared" si="10"/>
        <v>7.6080628724948269</v>
      </c>
      <c r="P55" s="74">
        <f t="shared" si="10"/>
        <v>6.4057542192465498</v>
      </c>
      <c r="Q55" s="74">
        <f t="shared" si="10"/>
        <v>3.8174512055109062</v>
      </c>
      <c r="R55" s="74">
        <f t="shared" si="10"/>
        <v>2.2254069025612289</v>
      </c>
      <c r="S55" s="74">
        <f t="shared" si="10"/>
        <v>3.2267895440276</v>
      </c>
      <c r="T55" s="74">
        <f t="shared" si="10"/>
        <v>4.3038053165930421</v>
      </c>
      <c r="U55" s="74">
        <f t="shared" si="10"/>
        <v>1.9475706529305299</v>
      </c>
      <c r="V55" s="74">
        <f t="shared" si="10"/>
        <v>4.0467226657196242</v>
      </c>
      <c r="W55" s="74">
        <f t="shared" si="10"/>
        <v>4.3230439908171512</v>
      </c>
      <c r="X55" s="74">
        <f t="shared" si="10"/>
        <v>4.5479350506350684</v>
      </c>
      <c r="Y55" s="74">
        <f t="shared" si="10"/>
        <v>2.5274172781285387</v>
      </c>
      <c r="Z55" s="74">
        <f t="shared" si="10"/>
        <v>7.0148202243699309</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Isle of Wight</v>
      </c>
      <c r="G60" s="88"/>
      <c r="H60" s="89"/>
      <c r="I60" s="76">
        <f>VLOOKUP($F60,DISABILITY!$A$718:$I$1052,DISABILITY!B$1053,FALSE)</f>
        <v>29.4</v>
      </c>
      <c r="J60" s="77">
        <f>VLOOKUP($F60,DISABILITY!$A$718:$I$1052,DISABILITY!C$1053,FALSE)</f>
        <v>28.600000000000009</v>
      </c>
      <c r="K60" s="77">
        <f>VLOOKUP($F60,DISABILITY!$A$718:$I$1052,DISABILITY!D$1053,FALSE)</f>
        <v>28.399999999999991</v>
      </c>
      <c r="L60" s="77">
        <f>VLOOKUP($F60,DISABILITY!$A$718:$I$1052,DISABILITY!E$1053,FALSE)</f>
        <v>32.099999999999994</v>
      </c>
      <c r="M60" s="77">
        <f>VLOOKUP($F60,DISABILITY!$A$718:$I$1052,DISABILITY!F$1053,FALSE)</f>
        <v>30.600000000000009</v>
      </c>
      <c r="N60" s="77">
        <f>VLOOKUP($F60,DISABILITY!$A$718:$I$1052,DISABILITY!G$1053,FALSE)</f>
        <v>36.100000000000009</v>
      </c>
      <c r="O60" s="77">
        <f>VLOOKUP($F60,DISABILITY!$A$718:$I$1052,DISABILITY!H$1053,FALSE)</f>
        <v>35.799999999999997</v>
      </c>
      <c r="P60" s="77">
        <f>VLOOKUP($F60,DISABILITY!$A$718:$I$1052,DISABILITY!I$1053,FALSE)</f>
        <v>30</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Isle of Wight to Rural as a Region</v>
      </c>
      <c r="G63" s="102"/>
      <c r="H63" s="103"/>
      <c r="I63" s="74">
        <f>(I60-I61)</f>
        <v>1.9798434593527503</v>
      </c>
      <c r="J63" s="74">
        <f t="shared" ref="J63:P63" si="12">(J60-J61)</f>
        <v>1.2809555929488212</v>
      </c>
      <c r="K63" s="74">
        <f t="shared" si="12"/>
        <v>0.28087163850178598</v>
      </c>
      <c r="L63" s="74">
        <f t="shared" si="12"/>
        <v>6.1090654610033184</v>
      </c>
      <c r="M63" s="74">
        <f t="shared" si="12"/>
        <v>5.1247741813338905</v>
      </c>
      <c r="N63" s="74">
        <f t="shared" si="12"/>
        <v>10.568752314558026</v>
      </c>
      <c r="O63" s="74">
        <f t="shared" si="12"/>
        <v>12.002777712003052</v>
      </c>
      <c r="P63" s="74">
        <f t="shared" si="12"/>
        <v>4.6458220696578252</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Isle of Wight</v>
      </c>
      <c r="G68" s="88"/>
      <c r="H68" s="89"/>
      <c r="I68" s="76">
        <f>VLOOKUP($F68,'WORKLESS HOUSEHOLDS'!$DW$4:$EC$397,7,FALSE)</f>
        <v>14.393576551245157</v>
      </c>
      <c r="J68" s="77">
        <f>VLOOKUP($F68,'WORKLESS HOUSEHOLDS'!$DN$4:$DT$397,7,FALSE)</f>
        <v>11.688410871627859</v>
      </c>
      <c r="K68" s="77">
        <f>VLOOKUP($F68,'WORKLESS HOUSEHOLDS'!$DE$4:$DK$397,7,FALSE)</f>
        <v>14.381547998271426</v>
      </c>
      <c r="L68" s="77">
        <f>VLOOKUP($F68,'WORKLESS HOUSEHOLDS'!$CV$4:$DB$397,7,FALSE)</f>
        <v>17.964727684117744</v>
      </c>
      <c r="M68" s="77">
        <f>VLOOKUP($F68,'WORKLESS HOUSEHOLDS'!$CM$4:$CS$397,7,FALSE)</f>
        <v>15.364473039883741</v>
      </c>
      <c r="N68" s="77">
        <f>VLOOKUP($F68,'WORKLESS HOUSEHOLDS'!$CD$4:$CJ$397,7,FALSE)</f>
        <v>20.641262548069719</v>
      </c>
      <c r="O68" s="77">
        <f>VLOOKUP($F68,'WORKLESS HOUSEHOLDS'!$BU$4:$CA$397,7,FALSE)</f>
        <v>20.259264613753555</v>
      </c>
      <c r="P68" s="77">
        <f>VLOOKUP($F68,'WORKLESS HOUSEHOLDS'!$BL$4:$BR$397,7,FALSE)</f>
        <v>14.211076280041798</v>
      </c>
      <c r="Q68" s="77">
        <f>VLOOKUP($F68,'WORKLESS HOUSEHOLDS'!$BC$4:$BI$397,7,FALSE)</f>
        <v>15.209544816522961</v>
      </c>
      <c r="R68" s="77">
        <f>VLOOKUP($F68,'WORKLESS HOUSEHOLDS'!$AT$4:$AZ$397,7,FALSE)</f>
        <v>10.703285420944558</v>
      </c>
      <c r="S68" s="77">
        <f>VLOOKUP($F68,'WORKLESS HOUSEHOLDS'!$AK$4:$AQ$397,7,FALSE)</f>
        <v>11.71454871372511</v>
      </c>
      <c r="T68" s="77">
        <f>VLOOKUP($F68,'WORKLESS HOUSEHOLDS'!$AB$4:$AH$397,7,FALSE)</f>
        <v>12.362222730391036</v>
      </c>
      <c r="U68" s="77">
        <f>VLOOKUP($F68,'WORKLESS HOUSEHOLDS'!$S$4:$Y$397,7,FALSE)</f>
        <v>10.767667972718039</v>
      </c>
      <c r="V68" s="77">
        <f>VLOOKUP($F68,'WORKLESS HOUSEHOLDS'!$J$4:$P$397,7,FALSE)</f>
        <v>11.502202851864133</v>
      </c>
      <c r="W68" s="77">
        <f>VLOOKUP($F68,'WORKLESS HOUSEHOLDS'!$B$4:$H$397,7,FALSE)</f>
        <v>8.8307322929171672</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Isle of Wight to Rural as a Region</v>
      </c>
      <c r="G71" s="102"/>
      <c r="H71" s="103"/>
      <c r="I71" s="74">
        <f>(I68-I69)</f>
        <v>4.3816306886584666</v>
      </c>
      <c r="J71" s="74">
        <f t="shared" ref="J71:W71" si="14">(J68-J69)</f>
        <v>0.77725603415283473</v>
      </c>
      <c r="K71" s="74">
        <f t="shared" si="14"/>
        <v>4.0883022691155819</v>
      </c>
      <c r="L71" s="74">
        <f t="shared" si="14"/>
        <v>6.9987210227880112</v>
      </c>
      <c r="M71" s="74">
        <f t="shared" si="14"/>
        <v>3.6706938586952678</v>
      </c>
      <c r="N71" s="74">
        <f t="shared" si="14"/>
        <v>8.7401628688143376</v>
      </c>
      <c r="O71" s="74">
        <f t="shared" si="14"/>
        <v>9.2240113660110428</v>
      </c>
      <c r="P71" s="74">
        <f t="shared" si="14"/>
        <v>4.5195783942739602</v>
      </c>
      <c r="Q71" s="74">
        <f t="shared" si="14"/>
        <v>4.4043665561245486</v>
      </c>
      <c r="R71" s="74">
        <f t="shared" si="14"/>
        <v>-2.810902784995406E-3</v>
      </c>
      <c r="S71" s="74">
        <f t="shared" si="14"/>
        <v>1.5618038855762286</v>
      </c>
      <c r="T71" s="74">
        <f t="shared" si="14"/>
        <v>2.4585545357582852</v>
      </c>
      <c r="U71" s="74">
        <f t="shared" si="14"/>
        <v>5.6178080385631546E-3</v>
      </c>
      <c r="V71" s="74">
        <f t="shared" si="14"/>
        <v>1.5633343753244855</v>
      </c>
      <c r="W71" s="74">
        <f t="shared" si="14"/>
        <v>-1.521969130267026</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Isle of Wight</v>
      </c>
      <c r="G76" s="88"/>
      <c r="H76" s="89"/>
      <c r="I76" s="76">
        <f>VLOOKUP($F76,'SKILLED EMPLOYMENT'!$A$1506:$BW$1841,6,FALSE)</f>
        <v>48.1</v>
      </c>
      <c r="J76" s="77">
        <f>VLOOKUP($F76,'SKILLED EMPLOYMENT'!$A$1506:$BW$1841,10,FALSE)</f>
        <v>49.8</v>
      </c>
      <c r="K76" s="77">
        <f>VLOOKUP($F76,'SKILLED EMPLOYMENT'!$A$1506:$BW$1841,14,FALSE)</f>
        <v>52.1</v>
      </c>
      <c r="L76" s="77">
        <f>VLOOKUP($F76,'SKILLED EMPLOYMENT'!$A$1506:$BW$1841,18,FALSE)</f>
        <v>52.400000000000006</v>
      </c>
      <c r="M76" s="77">
        <f>VLOOKUP($F76,'SKILLED EMPLOYMENT'!$A$1506:$BW$1841,22,FALSE)</f>
        <v>50.199999999999996</v>
      </c>
      <c r="N76" s="77">
        <f>VLOOKUP($F76,'SKILLED EMPLOYMENT'!$A$1506:$BW$1841,26,FALSE)</f>
        <v>48.3</v>
      </c>
      <c r="O76" s="77">
        <f>VLOOKUP($F76,'SKILLED EMPLOYMENT'!$A$1506:$BW$1841,30,FALSE)</f>
        <v>48</v>
      </c>
      <c r="P76" s="77">
        <f>VLOOKUP($F76,'SKILLED EMPLOYMENT'!$A$1506:$BW$1841,34,FALSE)</f>
        <v>48</v>
      </c>
      <c r="Q76" s="77">
        <f>VLOOKUP($F76,'SKILLED EMPLOYMENT'!$A$1506:$BW$1841,38,FALSE)</f>
        <v>50.199999999999996</v>
      </c>
      <c r="R76" s="77">
        <f>VLOOKUP($F76,'SKILLED EMPLOYMENT'!$A$1506:$BW$1841,42,FALSE)</f>
        <v>52.300000000000004</v>
      </c>
      <c r="S76" s="77">
        <f>VLOOKUP($F76,'SKILLED EMPLOYMENT'!$A$1506:$BW$1841,46,FALSE)</f>
        <v>49.5</v>
      </c>
      <c r="T76" s="77">
        <f>VLOOKUP($F76,'SKILLED EMPLOYMENT'!$A$1506:$BW$1841,50,FALSE)</f>
        <v>52.3</v>
      </c>
      <c r="U76" s="77">
        <f>VLOOKUP($F76,'SKILLED EMPLOYMENT'!$A$1506:$BW$1841,54,FALSE)</f>
        <v>51.800000000000004</v>
      </c>
      <c r="V76" s="77">
        <f>VLOOKUP($F76,'SKILLED EMPLOYMENT'!$A$1506:$BW$1841,58,FALSE)</f>
        <v>51.300000000000004</v>
      </c>
      <c r="W76" s="77">
        <f>VLOOKUP($F76,'SKILLED EMPLOYMENT'!$A$1506:$BW$1841,62,FALSE)</f>
        <v>51.2</v>
      </c>
      <c r="X76" s="77">
        <f>VLOOKUP($F76,'SKILLED EMPLOYMENT'!$A$1506:$BW$1841,66,FALSE)</f>
        <v>53.900000000000006</v>
      </c>
      <c r="Y76" s="77">
        <f>VLOOKUP($F76,'SKILLED EMPLOYMENT'!$A$1506:$BW$1841,70,FALSE)</f>
        <v>53.099999999999994</v>
      </c>
      <c r="Z76" s="77">
        <f>VLOOKUP($F76,'SKILLED EMPLOYMENT'!$A$1506:$BW$1841,74,FALSE)</f>
        <v>53.2</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Isle of Wight to Rural as a Region</v>
      </c>
      <c r="G79" s="102"/>
      <c r="H79" s="103"/>
      <c r="I79" s="74">
        <f>(I76-I77)</f>
        <v>-4.6000000000000014</v>
      </c>
      <c r="J79" s="74">
        <f t="shared" ref="J79:Z79" si="17">(J76-J77)</f>
        <v>-3.1000000000000014</v>
      </c>
      <c r="K79" s="74">
        <f t="shared" si="17"/>
        <v>-1.3999999999999986</v>
      </c>
      <c r="L79" s="74">
        <f t="shared" si="17"/>
        <v>-1.5999999999999943</v>
      </c>
      <c r="M79" s="74">
        <f t="shared" si="17"/>
        <v>-3.9000000000000057</v>
      </c>
      <c r="N79" s="74">
        <f t="shared" si="17"/>
        <v>-6.1000000000000014</v>
      </c>
      <c r="O79" s="74">
        <f t="shared" si="17"/>
        <v>-7.3999999999999986</v>
      </c>
      <c r="P79" s="74">
        <f t="shared" si="17"/>
        <v>-7.6000000000000014</v>
      </c>
      <c r="Q79" s="74">
        <f t="shared" si="17"/>
        <v>-5.2000000000000028</v>
      </c>
      <c r="R79" s="74">
        <f t="shared" si="17"/>
        <v>-3.8999999999999986</v>
      </c>
      <c r="S79" s="74">
        <f t="shared" si="17"/>
        <v>-6.7000000000000028</v>
      </c>
      <c r="T79" s="74">
        <f t="shared" si="17"/>
        <v>-4.5</v>
      </c>
      <c r="U79" s="74">
        <f t="shared" si="17"/>
        <v>-4.7999999999999972</v>
      </c>
      <c r="V79" s="74">
        <f t="shared" si="17"/>
        <v>-5.7999999999999972</v>
      </c>
      <c r="W79" s="74">
        <f t="shared" si="17"/>
        <v>-6.5999999999999943</v>
      </c>
      <c r="X79" s="74">
        <f t="shared" si="17"/>
        <v>-4.8999999999999915</v>
      </c>
      <c r="Y79" s="74">
        <f t="shared" si="17"/>
        <v>-5.6000000000000085</v>
      </c>
      <c r="Z79" s="74">
        <f t="shared" si="17"/>
        <v>-5.1999999999999957</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oo61Onqo4E8GNP14wy+m2qCSyVc6VhWkJXVRTbn6kXO3CQuuXvamrAH3OTWbqJ2fBcA+RBwcVW3tPXc8a0AJ0g==" saltValue="bw4AjESLsEpPYOBTB+8twg=="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2022-08-02T11:23:02Z</dcterms:modified>
</cp:coreProperties>
</file>