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ECFDB7B8-9971-424D-AE92-FC744DE18A9A}" xr6:coauthVersionLast="47" xr6:coauthVersionMax="47" xr10:uidLastSave="{D3A2FAA4-9793-4C85-9C71-167EFAF7075B}"/>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<sst xmlns="http://schemas.openxmlformats.org/spreadsheetml/2006/main" count="32859" uniqueCount="1676">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</sst>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King's Lynn and West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23.47</c:v>
                </c:pt>
                <c:pt idx="1">
                  <c:v>23.4</c:v>
                </c:pt>
                <c:pt idx="2">
                  <c:v>24.09</c:v>
                </c:pt>
                <c:pt idx="3">
                  <c:v>24.47</c:v>
                </c:pt>
                <c:pt idx="4">
                  <c:v>24.56</c:v>
                </c:pt>
                <c:pt idx="5">
                  <c:v>24.95</c:v>
                </c:pt>
                <c:pt idx="6">
                  <c:v>25.67</c:v>
                </c:pt>
                <c:pt idx="7">
                  <c:v>26.99</c:v>
                </c:pt>
                <c:pt idx="8">
                  <c:v>27.9</c:v>
                </c:pt>
                <c:pt idx="9">
                  <c:v>28.19</c:v>
                </c:pt>
                <c:pt idx="10">
                  <c:v>27.76</c:v>
                </c:pt>
                <c:pt idx="11">
                  <c:v>27.86</c:v>
                </c:pt>
                <c:pt idx="12">
                  <c:v>28.55</c:v>
                </c:pt>
                <c:pt idx="13">
                  <c:v>29.58</c:v>
                </c:pt>
                <c:pt idx="14">
                  <c:v>30.31</c:v>
                </c:pt>
                <c:pt idx="15">
                  <c:v>30.6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King's Lynn and West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443.3</c:v>
                </c:pt>
                <c:pt idx="1">
                  <c:v>428.8</c:v>
                </c:pt>
                <c:pt idx="2">
                  <c:v>425</c:v>
                </c:pt>
                <c:pt idx="3">
                  <c:v>471.6</c:v>
                </c:pt>
                <c:pt idx="4">
                  <c:v>477.3</c:v>
                </c:pt>
                <c:pt idx="5">
                  <c:v>464.5</c:v>
                </c:pt>
                <c:pt idx="6">
                  <c:v>463.9</c:v>
                </c:pt>
                <c:pt idx="7">
                  <c:v>471.3</c:v>
                </c:pt>
                <c:pt idx="8">
                  <c:v>498</c:v>
                </c:pt>
                <c:pt idx="9">
                  <c:v>527.1</c:v>
                </c:pt>
                <c:pt idx="10">
                  <c:v>514.29999999999995</c:v>
                </c:pt>
                <c:pt idx="11">
                  <c:v>553.29999999999995</c:v>
                </c:pt>
                <c:pt idx="12">
                  <c:v>556.5</c:v>
                </c:pt>
                <c:pt idx="13">
                  <c:v>557.9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King's Lynn and West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74.3</c:v>
                </c:pt>
                <c:pt idx="1">
                  <c:v>74.599999999999994</c:v>
                </c:pt>
                <c:pt idx="2">
                  <c:v>73.2</c:v>
                </c:pt>
                <c:pt idx="3">
                  <c:v>68.8</c:v>
                </c:pt>
                <c:pt idx="4">
                  <c:v>71.7</c:v>
                </c:pt>
                <c:pt idx="5">
                  <c:v>70</c:v>
                </c:pt>
                <c:pt idx="6">
                  <c:v>70.900000000000006</c:v>
                </c:pt>
                <c:pt idx="7">
                  <c:v>74.7</c:v>
                </c:pt>
                <c:pt idx="8">
                  <c:v>69.400000000000006</c:v>
                </c:pt>
                <c:pt idx="9">
                  <c:v>71.599999999999994</c:v>
                </c:pt>
                <c:pt idx="10">
                  <c:v>73.2</c:v>
                </c:pt>
                <c:pt idx="11">
                  <c:v>76.3</c:v>
                </c:pt>
                <c:pt idx="12">
                  <c:v>75.5</c:v>
                </c:pt>
                <c:pt idx="13">
                  <c:v>77.599999999999994</c:v>
                </c:pt>
                <c:pt idx="14">
                  <c:v>70.5</c:v>
                </c:pt>
                <c:pt idx="15">
                  <c:v>78.3</c:v>
                </c:pt>
                <c:pt idx="16">
                  <c:v>77.7</c:v>
                </c:pt>
                <c:pt idx="17">
                  <c:v>74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King's Lynn and West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11623</c:v>
                </c:pt>
                <c:pt idx="1">
                  <c:v>12110</c:v>
                </c:pt>
                <c:pt idx="2">
                  <c:v>12126</c:v>
                </c:pt>
                <c:pt idx="3">
                  <c:v>12762</c:v>
                </c:pt>
                <c:pt idx="4">
                  <c:v>13432</c:v>
                </c:pt>
                <c:pt idx="5">
                  <c:v>14161</c:v>
                </c:pt>
                <c:pt idx="6">
                  <c:v>14753</c:v>
                </c:pt>
                <c:pt idx="7">
                  <c:v>15218</c:v>
                </c:pt>
                <c:pt idx="8">
                  <c:v>15881</c:v>
                </c:pt>
                <c:pt idx="9">
                  <c:v>16252</c:v>
                </c:pt>
                <c:pt idx="10">
                  <c:v>16447</c:v>
                </c:pt>
                <c:pt idx="11">
                  <c:v>17093</c:v>
                </c:pt>
                <c:pt idx="12">
                  <c:v>17308</c:v>
                </c:pt>
                <c:pt idx="13">
                  <c:v>18003</c:v>
                </c:pt>
                <c:pt idx="14">
                  <c:v>18874</c:v>
                </c:pt>
                <c:pt idx="15">
                  <c:v>19572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King's Lynn and West Norfolk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29.5</c:v>
                </c:pt>
                <c:pt idx="1">
                  <c:v>30.9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King's Lynn and West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21.5</c:v>
                </c:pt>
                <c:pt idx="1">
                  <c:v>21.9</c:v>
                </c:pt>
                <c:pt idx="2">
                  <c:v>23.3</c:v>
                </c:pt>
                <c:pt idx="3">
                  <c:v>28.2</c:v>
                </c:pt>
                <c:pt idx="4">
                  <c:v>25.8</c:v>
                </c:pt>
                <c:pt idx="5">
                  <c:v>23.8</c:v>
                </c:pt>
                <c:pt idx="6">
                  <c:v>22.9</c:v>
                </c:pt>
                <c:pt idx="7">
                  <c:v>16.399999999999999</c:v>
                </c:pt>
                <c:pt idx="8">
                  <c:v>25.9</c:v>
                </c:pt>
                <c:pt idx="9">
                  <c:v>24.1</c:v>
                </c:pt>
                <c:pt idx="10">
                  <c:v>22.1</c:v>
                </c:pt>
                <c:pt idx="11">
                  <c:v>16.7</c:v>
                </c:pt>
                <c:pt idx="12">
                  <c:v>21.9</c:v>
                </c:pt>
                <c:pt idx="13">
                  <c:v>20.3</c:v>
                </c:pt>
                <c:pt idx="14">
                  <c:v>25.9</c:v>
                </c:pt>
                <c:pt idx="15">
                  <c:v>19.100000000000001</c:v>
                </c:pt>
                <c:pt idx="16">
                  <c:v>18.399999999999999</c:v>
                </c:pt>
                <c:pt idx="17">
                  <c:v>22.9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King's Lynn and West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36.5</c:v>
                </c:pt>
                <c:pt idx="1">
                  <c:v>36.099999999999994</c:v>
                </c:pt>
                <c:pt idx="2">
                  <c:v>30.999999999999993</c:v>
                </c:pt>
                <c:pt idx="3">
                  <c:v>28.800000000000004</c:v>
                </c:pt>
                <c:pt idx="4">
                  <c:v>22.300000000000004</c:v>
                </c:pt>
                <c:pt idx="5">
                  <c:v>28.599999999999994</c:v>
                </c:pt>
                <c:pt idx="6">
                  <c:v>35.299999999999997</c:v>
                </c:pt>
                <c:pt idx="7">
                  <c:v>37.9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King's Lynn and West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10.173194357553312</c:v>
                </c:pt>
                <c:pt idx="1">
                  <c:v>11.471640300661372</c:v>
                </c:pt>
                <c:pt idx="2">
                  <c:v>15.163173183244666</c:v>
                </c:pt>
                <c:pt idx="3">
                  <c:v>17.519804707986658</c:v>
                </c:pt>
                <c:pt idx="4">
                  <c:v>20.090970853705485</c:v>
                </c:pt>
                <c:pt idx="5">
                  <c:v>7.6213323491419089</c:v>
                </c:pt>
                <c:pt idx="6">
                  <c:v>12.235732616399854</c:v>
                </c:pt>
                <c:pt idx="7">
                  <c:v>13.089125252154776</c:v>
                </c:pt>
                <c:pt idx="8">
                  <c:v>14.04751232631107</c:v>
                </c:pt>
                <c:pt idx="9">
                  <c:v>8.234834770879921</c:v>
                </c:pt>
                <c:pt idx="10">
                  <c:v>0</c:v>
                </c:pt>
                <c:pt idx="11">
                  <c:v>6.8018509461645529</c:v>
                </c:pt>
                <c:pt idx="12">
                  <c:v>15.87582857517884</c:v>
                </c:pt>
                <c:pt idx="13">
                  <c:v>0</c:v>
                </c:pt>
                <c:pt idx="14">
                  <c:v>14.760339722104716</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King's Lynn and West Norfolk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44.900000000000006</c:v>
                </c:pt>
                <c:pt idx="1">
                  <c:v>48.599999999999994</c:v>
                </c:pt>
                <c:pt idx="2">
                  <c:v>45</c:v>
                </c:pt>
                <c:pt idx="3">
                  <c:v>53</c:v>
                </c:pt>
                <c:pt idx="4">
                  <c:v>50.2</c:v>
                </c:pt>
                <c:pt idx="5">
                  <c:v>49</c:v>
                </c:pt>
                <c:pt idx="6">
                  <c:v>48.7</c:v>
                </c:pt>
                <c:pt idx="7">
                  <c:v>41.2</c:v>
                </c:pt>
                <c:pt idx="8">
                  <c:v>51.4</c:v>
                </c:pt>
                <c:pt idx="9">
                  <c:v>50.5</c:v>
                </c:pt>
                <c:pt idx="10">
                  <c:v>51.2</c:v>
                </c:pt>
                <c:pt idx="11">
                  <c:v>51.499999999999993</c:v>
                </c:pt>
                <c:pt idx="12">
                  <c:v>46.900000000000006</c:v>
                </c:pt>
                <c:pt idx="13">
                  <c:v>52.9</c:v>
                </c:pt>
                <c:pt idx="14">
                  <c:v>53.1</c:v>
                </c:pt>
                <c:pt idx="15">
                  <c:v>50.1</c:v>
                </c:pt>
                <c:pt idx="16">
                  <c:v>60.600000000000009</c:v>
                </c:pt>
                <c:pt idx="17">
                  <c:v>52.900000000000006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King's Lynn &amp; West Norfolk has fluctuated over the years, but in general sits between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426720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1887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From 2004 to 2019 the GDHI for King's Lynn &amp; West Norfolk is consistently below the rural and England situations, however it increases at a rate that reduces the percentage gap to 'Rural as a Region' from 21% to 12%.</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King's Lynn &amp; West Norfolk in 2017 and 2018 was above that for both 'Rural as a Region'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King's Lynn &amp; West Norfolk's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327660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11277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King's Lynn &amp; West Norfolk is greater than it is for rural and England in 2014 but decreases below both by 2018, before increasing again to 2021 where it is markedly greater than both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King's Lynn &amp; West Norfolk has been less stable and has in certain years been greater than and in other years less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King's Lynn &amp; West Norfolk in general has a lower proportion of employed people in skilled employment than seen for either England or 'Rural as a Region'.</a:t>
          </a:r>
          <a:endParaRPr lang="en-GB" sz="1100">
            <a:latin typeface="Avenir Next LT Pro" panose="020B0504020202020204" pitchFamily="34" charset="0"/>
          </a:endParaRPr>
        </a:p>
      </xdr:txBody>
    </xdr:sp>
    <xdr:clientData/>
  </xdr:twoCellAnchor>
  <xdr:twoCellAnchor>
    <xdr:from>
      <xdr:col>0</xdr:col>
      <xdr:colOff>586740</xdr:colOff>
      <xdr:row>12</xdr:row>
      <xdr:rowOff>480060</xdr:rowOff>
    </xdr:from>
    <xdr:to>
      <xdr:col>1</xdr:col>
      <xdr:colOff>2567940</xdr:colOff>
      <xdr:row>13</xdr:row>
      <xdr:rowOff>632460</xdr:rowOff>
    </xdr:to>
    <xdr:sp macro="" textlink="">
      <xdr:nvSpPr>
        <xdr:cNvPr id="20" name="TextBox 19">
          <a:extLst>
            <a:ext uri="{FF2B5EF4-FFF2-40B4-BE49-F238E27FC236}">
              <a16:creationId xmlns:a16="http://schemas.microsoft.com/office/drawing/2014/main" id="{507B3D7A-C952-45C8-A436-366321D764D5}"/>
            </a:ext>
          </a:extLst>
        </xdr:cNvPr>
        <xdr:cNvSpPr txBox="1"/>
      </xdr:nvSpPr>
      <xdr:spPr>
        <a:xfrm>
          <a:off x="586740" y="34671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King's Lynn &amp; West Norfolk follows very closely the situation of 'Rural as a Region'.</a:t>
          </a:r>
          <a:endParaRPr lang="en-GB" sz="1100">
            <a:latin typeface="Avenir Next LT Pro" panose="020B0504020202020204" pitchFamily="34" charset="0"/>
          </a:endParaRPr>
        </a:p>
      </xdr:txBody>
    </xdr:sp>
    <xdr:clientData/>
  </xdr:twoCellAnchor>
  <xdr:twoCellAnchor>
    <xdr:from>
      <xdr:col>0</xdr:col>
      <xdr:colOff>609600</xdr:colOff>
      <xdr:row>20</xdr:row>
      <xdr:rowOff>632460</xdr:rowOff>
    </xdr:from>
    <xdr:to>
      <xdr:col>1</xdr:col>
      <xdr:colOff>2590800</xdr:colOff>
      <xdr:row>22</xdr:row>
      <xdr:rowOff>160020</xdr:rowOff>
    </xdr:to>
    <xdr:sp macro="" textlink="">
      <xdr:nvSpPr>
        <xdr:cNvPr id="21" name="TextBox 20">
          <a:extLst>
            <a:ext uri="{FF2B5EF4-FFF2-40B4-BE49-F238E27FC236}">
              <a16:creationId xmlns:a16="http://schemas.microsoft.com/office/drawing/2014/main" id="{F17FCB9E-BA66-42AE-A220-71E463B860A4}"/>
            </a:ext>
          </a:extLst>
        </xdr:cNvPr>
        <xdr:cNvSpPr txBox="1"/>
      </xdr:nvSpPr>
      <xdr:spPr>
        <a:xfrm>
          <a:off x="609600" y="75590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King's Lynn &amp; West Norfolk fluctuates around the rural average situation, moving above and below.</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373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King's Lynn and West Norfolk</v>
      </c>
      <c r="G12" s="88" t="str">
        <f>IFERROR(VLOOKUP(F12,GVA!B244:B552,1,FALSE),VLOOKUP(F12,GVA!B6:C230,2,FALSE))</f>
        <v>King's Lynn and West Norfolk</v>
      </c>
      <c r="H12" s="89" t="str">
        <f>IF(F12=G12,"",G12)</f>
        <v/>
      </c>
      <c r="I12" s="76">
        <f>IFERROR(VLOOKUP($F12,GVA!$B$7:$S$230,GVA!D$3,FALSE),VLOOKUP($F12,GVA!$B$244:$T$554,GVA!E$3,FALSE))</f>
        <v>23.47</v>
      </c>
      <c r="J12" s="77">
        <f>IFERROR(VLOOKUP($F12,GVA!$B$7:$S$230,GVA!E$3,FALSE),VLOOKUP($F12,GVA!$B$244:$T$554,GVA!F$3,FALSE))</f>
        <v>23.4</v>
      </c>
      <c r="K12" s="77">
        <f>IFERROR(VLOOKUP($F12,GVA!$B$7:$S$230,GVA!F$3,FALSE),VLOOKUP($F12,GVA!$B$244:$T$554,GVA!G$3,FALSE))</f>
        <v>24.09</v>
      </c>
      <c r="L12" s="77">
        <f>IFERROR(VLOOKUP($F12,GVA!$B$7:$S$230,GVA!G$3,FALSE),VLOOKUP($F12,GVA!$B$244:$T$554,GVA!H$3,FALSE))</f>
        <v>24.47</v>
      </c>
      <c r="M12" s="77">
        <f>IFERROR(VLOOKUP($F12,GVA!$B$7:$S$230,GVA!H$3,FALSE),VLOOKUP($F12,GVA!$B$244:$T$554,GVA!I$3,FALSE))</f>
        <v>24.56</v>
      </c>
      <c r="N12" s="77">
        <f>IFERROR(VLOOKUP($F12,GVA!$B$7:$S$230,GVA!I$3,FALSE),VLOOKUP($F12,GVA!$B$244:$T$554,GVA!J$3,FALSE))</f>
        <v>24.95</v>
      </c>
      <c r="O12" s="77">
        <f>IFERROR(VLOOKUP($F12,GVA!$B$7:$S$230,GVA!J$3,FALSE),VLOOKUP($F12,GVA!$B$244:$T$554,GVA!K$3,FALSE))</f>
        <v>25.67</v>
      </c>
      <c r="P12" s="77">
        <f>IFERROR(VLOOKUP($F12,GVA!$B$7:$S$230,GVA!K$3,FALSE),VLOOKUP($F12,GVA!$B$244:$T$554,GVA!L$3,FALSE))</f>
        <v>26.99</v>
      </c>
      <c r="Q12" s="77">
        <f>IFERROR(VLOOKUP($F12,GVA!$B$7:$S$230,GVA!L$3,FALSE),VLOOKUP($F12,GVA!$B$244:$T$554,GVA!M$3,FALSE))</f>
        <v>27.9</v>
      </c>
      <c r="R12" s="77">
        <f>IFERROR(VLOOKUP($F12,GVA!$B$7:$S$230,GVA!M$3,FALSE),VLOOKUP($F12,GVA!$B$244:$T$554,GVA!N$3,FALSE))</f>
        <v>28.19</v>
      </c>
      <c r="S12" s="77">
        <f>IFERROR(VLOOKUP($F12,GVA!$B$7:$S$230,GVA!N$3,FALSE),VLOOKUP($F12,GVA!$B$244:$T$554,GVA!O$3,FALSE))</f>
        <v>27.76</v>
      </c>
      <c r="T12" s="77">
        <f>IFERROR(VLOOKUP($F12,GVA!$B$7:$S$230,GVA!O$3,FALSE),VLOOKUP($F12,GVA!$B$244:$T$554,GVA!P$3,FALSE))</f>
        <v>27.86</v>
      </c>
      <c r="U12" s="77">
        <f>IFERROR(VLOOKUP($F12,GVA!$B$7:$S$230,GVA!P$3,FALSE),VLOOKUP($F12,GVA!$B$244:$T$554,GVA!Q$3,FALSE))</f>
        <v>28.55</v>
      </c>
      <c r="V12" s="77">
        <f>IFERROR(VLOOKUP($F12,GVA!$B$7:$S$230,GVA!Q$3,FALSE),VLOOKUP($F12,GVA!$B$244:$T$554,GVA!R$3,FALSE))</f>
        <v>29.58</v>
      </c>
      <c r="W12" s="77">
        <f>IFERROR(VLOOKUP($F12,GVA!$B$7:$S$230,GVA!R$3,FALSE),VLOOKUP($F12,GVA!$B$244:$T$554,GVA!S$3,FALSE))</f>
        <v>30.31</v>
      </c>
      <c r="X12" s="77">
        <f>IFERROR(VLOOKUP($F12,GVA!$B$7:$S$230,GVA!S$3,FALSE),VLOOKUP($F12,GVA!$B$244:$T$554,GVA!T$3,FALSE))</f>
        <v>30.6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King's Lynn and West Norfolk to Rural as a Region</v>
      </c>
      <c r="G15" s="122"/>
      <c r="H15" s="123"/>
      <c r="I15" s="74">
        <f>100*((I12-I13)/I13)</f>
        <v>-0.29787040361688327</v>
      </c>
      <c r="J15" s="74">
        <f t="shared" ref="J15:X15" si="0">100*((J12-J13)/J13)</f>
        <v>-0.31847779783760533</v>
      </c>
      <c r="K15" s="74">
        <f t="shared" si="0"/>
        <v>-0.88022218630150773</v>
      </c>
      <c r="L15" s="74">
        <f t="shared" si="0"/>
        <v>-1.4838672571461711</v>
      </c>
      <c r="M15" s="74">
        <f t="shared" si="0"/>
        <v>-2.7890473699834497</v>
      </c>
      <c r="N15" s="74">
        <f t="shared" si="0"/>
        <v>-2.0521472535997933</v>
      </c>
      <c r="O15" s="74">
        <f t="shared" si="0"/>
        <v>-0.46575608044790251</v>
      </c>
      <c r="P15" s="74">
        <f t="shared" si="0"/>
        <v>3.1150650165782139</v>
      </c>
      <c r="Q15" s="74">
        <f t="shared" si="0"/>
        <v>4.4524669073405354</v>
      </c>
      <c r="R15" s="74">
        <f t="shared" si="0"/>
        <v>3.7391407204909783</v>
      </c>
      <c r="S15" s="74">
        <f t="shared" si="0"/>
        <v>0.48998694230045342</v>
      </c>
      <c r="T15" s="74">
        <f t="shared" si="0"/>
        <v>-1.023498164470221</v>
      </c>
      <c r="U15" s="74">
        <f t="shared" si="0"/>
        <v>-0.99533090314614536</v>
      </c>
      <c r="V15" s="74">
        <f t="shared" si="0"/>
        <v>-0.13785342523561139</v>
      </c>
      <c r="W15" s="74">
        <f t="shared" si="0"/>
        <v>0.25003051553542377</v>
      </c>
      <c r="X15" s="74">
        <f t="shared" si="0"/>
        <v>0.159372795959946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King's Lynn and West Norfolk</v>
      </c>
      <c r="G20" s="88"/>
      <c r="H20" s="89"/>
      <c r="I20" s="80">
        <f>IF(VLOOKUP($F20,PAY!$A$11:$AE$349,4,FALSE)="-",#N/A,VLOOKUP($F20,PAY!$A$11:$AE$349,4,FALSE))</f>
        <v>443.3</v>
      </c>
      <c r="J20" s="80">
        <f>IF(VLOOKUP($F20,PAY!$A$11:$AE$349,6,FALSE)="-",#N/A,VLOOKUP($F20,PAY!$A$11:$AE$349,6,FALSE))</f>
        <v>428.8</v>
      </c>
      <c r="K20" s="80">
        <f>IF(VLOOKUP($F20,PAY!$A$11:$AE$349,8,FALSE)="-",#N/A,VLOOKUP($F20,PAY!$A$11:$AE$349,8,FALSE))</f>
        <v>425</v>
      </c>
      <c r="L20" s="80">
        <f>IF(VLOOKUP($F20,PAY!$A$11:$AE$349,10,FALSE)="-",#N/A,VLOOKUP($F20,PAY!$A$11:$AE$349,10,FALSE))</f>
        <v>471.6</v>
      </c>
      <c r="M20" s="80">
        <f>IF(VLOOKUP($F20,PAY!$A$11:$AE$349,12,FALSE)="-",#N/A,VLOOKUP($F20,PAY!$A$11:$AE$349,12,FALSE))</f>
        <v>477.3</v>
      </c>
      <c r="N20" s="80">
        <f>IF(VLOOKUP($F20,PAY!$A$11:$AE$349,14,FALSE)="-",#N/A,VLOOKUP($F20,PAY!$A$11:$AE$349,14,FALSE))</f>
        <v>464.5</v>
      </c>
      <c r="O20" s="80">
        <f>IF(VLOOKUP($F20,PAY!$A$11:$AE$349,16,FALSE)="-",#N/A,VLOOKUP($F20,PAY!$A$11:$AE$349,16,FALSE))</f>
        <v>463.9</v>
      </c>
      <c r="P20" s="80">
        <f>IF(VLOOKUP($F20,PAY!$A$11:$AE$349,18,FALSE)="-",#N/A,VLOOKUP($F20,PAY!$A$11:$AE$349,18,FALSE))</f>
        <v>471.3</v>
      </c>
      <c r="Q20" s="80">
        <f>IF(VLOOKUP($F20,PAY!$A$11:$AE$349,20,FALSE)="-",#N/A,VLOOKUP($F20,PAY!$A$11:$AE$349,20,FALSE))</f>
        <v>498</v>
      </c>
      <c r="R20" s="80">
        <f>IF(VLOOKUP($F20,PAY!$A$11:$AE$349,22,FALSE)="-",#N/A,VLOOKUP($F20,PAY!$A$11:$AE$349,22,FALSE))</f>
        <v>527.1</v>
      </c>
      <c r="S20" s="80">
        <f>IF(VLOOKUP($F20,PAY!$A$11:$AE$349,24,FALSE)="-",#N/A,VLOOKUP($F20,PAY!$A$11:$AE$349,24,FALSE))</f>
        <v>514.29999999999995</v>
      </c>
      <c r="T20" s="80">
        <f>IF(VLOOKUP($F20,PAY!$A$11:$AE$349,26,FALSE)="-",#N/A,VLOOKUP($F20,PAY!$A$11:$AE$349,26,FALSE))</f>
        <v>553.29999999999995</v>
      </c>
      <c r="U20" s="80">
        <f>IF(VLOOKUP($F20,PAY!$A$11:$AE$349,28,FALSE)="-",#N/A,VLOOKUP($F20,PAY!$A$11:$AE$349,28,FALSE))</f>
        <v>556.5</v>
      </c>
      <c r="V20" s="80">
        <f>IF(VLOOKUP($F20,PAY!$A$11:$AE$349,30,FALSE)="-",#N/A,VLOOKUP($F20,PAY!$A$11:$AE$349,30,FALSE))</f>
        <v>557.9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King's Lynn and West Norfolk to Rural as a Region</v>
      </c>
      <c r="G23" s="122"/>
      <c r="H23" s="123"/>
      <c r="I23" s="74">
        <f>100*((I20-I21)/I21)</f>
        <v>2.380548669254881</v>
      </c>
      <c r="J23" s="74">
        <f t="shared" ref="J23:V23" si="2">100*((J20-J21)/J21)</f>
        <v>-1.859586885621102</v>
      </c>
      <c r="K23" s="74">
        <f t="shared" si="2"/>
        <v>-5.1577784745585804</v>
      </c>
      <c r="L23" s="74">
        <f t="shared" si="2"/>
        <v>4.6481057031144921</v>
      </c>
      <c r="M23" s="74">
        <f t="shared" si="2"/>
        <v>4.8450959565345428</v>
      </c>
      <c r="N23" s="74">
        <f t="shared" si="2"/>
        <v>0.28668565150612585</v>
      </c>
      <c r="O23" s="74">
        <f t="shared" si="2"/>
        <v>-1.4661203331773955</v>
      </c>
      <c r="P23" s="74">
        <f t="shared" si="2"/>
        <v>-0.74165109341551516</v>
      </c>
      <c r="Q23" s="74">
        <f t="shared" si="2"/>
        <v>1.7401491113059151</v>
      </c>
      <c r="R23" s="74">
        <f t="shared" si="2"/>
        <v>4.5715146720910464</v>
      </c>
      <c r="S23" s="74">
        <f t="shared" si="2"/>
        <v>-2.4417477224183151E-2</v>
      </c>
      <c r="T23" s="74">
        <f t="shared" si="2"/>
        <v>3.6727064266228293</v>
      </c>
      <c r="U23" s="74">
        <f t="shared" si="2"/>
        <v>4.7927490527940142</v>
      </c>
      <c r="V23" s="74">
        <f t="shared" si="2"/>
        <v>-1.1261266070365126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King's Lynn and West Norfolk</v>
      </c>
      <c r="G28" s="88"/>
      <c r="H28" s="89"/>
      <c r="I28" s="76">
        <f>VLOOKUP($F28,EMPLOYMENT!$A$6:$BW$345,6,FALSE)</f>
        <v>74.3</v>
      </c>
      <c r="J28" s="77">
        <f>VLOOKUP($F28,EMPLOYMENT!$A$6:$BW$345,10,FALSE)</f>
        <v>74.599999999999994</v>
      </c>
      <c r="K28" s="77">
        <f>VLOOKUP($F28,EMPLOYMENT!$A$6:$BW$345,14,FALSE)</f>
        <v>73.2</v>
      </c>
      <c r="L28" s="77">
        <f>VLOOKUP($F28,EMPLOYMENT!$A$6:$BW$345,18,FALSE)</f>
        <v>68.8</v>
      </c>
      <c r="M28" s="77">
        <f>VLOOKUP($F28,EMPLOYMENT!$A$6:$BW$345,22,FALSE)</f>
        <v>71.7</v>
      </c>
      <c r="N28" s="77">
        <f>VLOOKUP($F28,EMPLOYMENT!$A$6:$BW$345,26,FALSE)</f>
        <v>70</v>
      </c>
      <c r="O28" s="77">
        <f>VLOOKUP($F28,EMPLOYMENT!$A$6:$BW$345,30,FALSE)</f>
        <v>70.900000000000006</v>
      </c>
      <c r="P28" s="77">
        <f>VLOOKUP($F28,EMPLOYMENT!$A$6:$BW$345,34,FALSE)</f>
        <v>74.7</v>
      </c>
      <c r="Q28" s="77">
        <f>VLOOKUP($F28,EMPLOYMENT!$A$6:$BW$345,38,FALSE)</f>
        <v>69.400000000000006</v>
      </c>
      <c r="R28" s="77">
        <f>VLOOKUP($F28,EMPLOYMENT!$A$6:$BW$345,42,FALSE)</f>
        <v>71.599999999999994</v>
      </c>
      <c r="S28" s="77">
        <f>VLOOKUP($F28,EMPLOYMENT!$A$6:$BW$345,46,FALSE)</f>
        <v>73.2</v>
      </c>
      <c r="T28" s="77">
        <f>VLOOKUP($F28,EMPLOYMENT!$A$6:$BW$345,50,FALSE)</f>
        <v>76.3</v>
      </c>
      <c r="U28" s="77">
        <f>VLOOKUP($F28,EMPLOYMENT!$A$6:$BW$345,54,FALSE)</f>
        <v>75.5</v>
      </c>
      <c r="V28" s="77">
        <f>VLOOKUP($F28,EMPLOYMENT!$A$6:$BW$345,58,FALSE)</f>
        <v>77.599999999999994</v>
      </c>
      <c r="W28" s="77">
        <f>VLOOKUP($F28,EMPLOYMENT!$A$6:$BW$345,62,FALSE)</f>
        <v>70.5</v>
      </c>
      <c r="X28" s="77">
        <f>VLOOKUP($F28,EMPLOYMENT!$A$6:$BW$345,66,FALSE)</f>
        <v>78.3</v>
      </c>
      <c r="Y28" s="77">
        <f>VLOOKUP($F28,EMPLOYMENT!$A$6:$BW$345,70,FALSE)</f>
        <v>77.7</v>
      </c>
      <c r="Z28" s="77">
        <f>VLOOKUP($F28,EMPLOYMENT!$A$6:$BW$345,74,FALSE)</f>
        <v>74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King's Lynn and West Norfolk to Rural as a Region</v>
      </c>
      <c r="G31" s="122"/>
      <c r="H31" s="123"/>
      <c r="I31" s="74">
        <f>(I28-I29)</f>
        <v>-1.8113419194017411</v>
      </c>
      <c r="J31" s="74">
        <f t="shared" ref="J31:Z31" si="4">(J28-J29)</f>
        <v>-1.7129754666829626</v>
      </c>
      <c r="K31" s="74">
        <f t="shared" si="4"/>
        <v>-2.6731888994867603</v>
      </c>
      <c r="L31" s="74">
        <f t="shared" si="4"/>
        <v>-6.8404683026278406</v>
      </c>
      <c r="M31" s="74">
        <f t="shared" si="4"/>
        <v>-4.0355243733317394</v>
      </c>
      <c r="N31" s="74">
        <f t="shared" si="4"/>
        <v>-4.5095398428731812</v>
      </c>
      <c r="O31" s="74">
        <f t="shared" si="4"/>
        <v>-2.6471331389698634</v>
      </c>
      <c r="P31" s="74">
        <f t="shared" si="4"/>
        <v>0.9657045967223894</v>
      </c>
      <c r="Q31" s="74">
        <f t="shared" si="4"/>
        <v>-4.6331574754625677</v>
      </c>
      <c r="R31" s="74">
        <f t="shared" si="4"/>
        <v>-3.1444749299002126</v>
      </c>
      <c r="S31" s="74">
        <f t="shared" si="4"/>
        <v>-2.9088603400756057</v>
      </c>
      <c r="T31" s="74">
        <f t="shared" si="4"/>
        <v>-0.8905319756090222</v>
      </c>
      <c r="U31" s="74">
        <f t="shared" si="4"/>
        <v>-1.471632481708042</v>
      </c>
      <c r="V31" s="74">
        <f t="shared" si="4"/>
        <v>-0.43278688524590336</v>
      </c>
      <c r="W31" s="74">
        <f t="shared" si="4"/>
        <v>-7.548156893414145</v>
      </c>
      <c r="X31" s="74">
        <f t="shared" si="4"/>
        <v>-0.29129937895670821</v>
      </c>
      <c r="Y31" s="74">
        <f t="shared" si="4"/>
        <v>0.68565370387079838</v>
      </c>
      <c r="Z31" s="74">
        <f t="shared" si="4"/>
        <v>-2.1557580778790424</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King's Lynn and West Norfolk</v>
      </c>
      <c r="G36" s="88" t="str">
        <f>IFERROR(VLOOKUP(F36,GDHI!B338:C574,2,FALSE),VLOOKUP(F36,GDHI!C3:C336,1,FALSE))</f>
        <v>King's Lynn and West Norfolk</v>
      </c>
      <c r="H36" s="89" t="str">
        <f>IF(F36=G36,"",G36)</f>
        <v/>
      </c>
      <c r="I36" s="83">
        <f>IFERROR(VLOOKUP($F36,GDHI!$B$338:$U$574,GDHI!G$578,FALSE),VLOOKUP($F36,GDHI!$C$3:$U$336,GDHI!F$578,FALSE))</f>
        <v>11623</v>
      </c>
      <c r="J36" s="84">
        <f>IFERROR(VLOOKUP($F36,GDHI!$B$338:$U$574,GDHI!H$578,FALSE),VLOOKUP($F36,GDHI!$C$3:$U$336,GDHI!G$578,FALSE))</f>
        <v>12110</v>
      </c>
      <c r="K36" s="84">
        <f>IFERROR(VLOOKUP($F36,GDHI!$B$338:$U$574,GDHI!I$578,FALSE),VLOOKUP($F36,GDHI!$C$3:$U$336,GDHI!H$578,FALSE))</f>
        <v>12126</v>
      </c>
      <c r="L36" s="84">
        <f>IFERROR(VLOOKUP($F36,GDHI!$B$338:$U$574,GDHI!J$578,FALSE),VLOOKUP($F36,GDHI!$C$3:$U$336,GDHI!I$578,FALSE))</f>
        <v>12762</v>
      </c>
      <c r="M36" s="84">
        <f>IFERROR(VLOOKUP($F36,GDHI!$B$338:$U$574,GDHI!K$578,FALSE),VLOOKUP($F36,GDHI!$C$3:$U$336,GDHI!J$578,FALSE))</f>
        <v>13432</v>
      </c>
      <c r="N36" s="84">
        <f>IFERROR(VLOOKUP($F36,GDHI!$B$338:$U$574,GDHI!L$578,FALSE),VLOOKUP($F36,GDHI!$C$3:$U$336,GDHI!K$578,FALSE))</f>
        <v>14161</v>
      </c>
      <c r="O36" s="84">
        <f>IFERROR(VLOOKUP($F36,GDHI!$B$338:$U$574,GDHI!M$578,FALSE),VLOOKUP($F36,GDHI!$C$3:$U$336,GDHI!L$578,FALSE))</f>
        <v>14753</v>
      </c>
      <c r="P36" s="84">
        <f>IFERROR(VLOOKUP($F36,GDHI!$B$338:$U$574,GDHI!N$578,FALSE),VLOOKUP($F36,GDHI!$C$3:$U$336,GDHI!M$578,FALSE))</f>
        <v>15218</v>
      </c>
      <c r="Q36" s="84">
        <f>IFERROR(VLOOKUP($F36,GDHI!$B$338:$U$574,GDHI!O$578,FALSE),VLOOKUP($F36,GDHI!$C$3:$U$336,GDHI!N$578,FALSE))</f>
        <v>15881</v>
      </c>
      <c r="R36" s="84">
        <f>IFERROR(VLOOKUP($F36,GDHI!$B$338:$U$574,GDHI!P$578,FALSE),VLOOKUP($F36,GDHI!$C$3:$U$336,GDHI!O$578,FALSE))</f>
        <v>16252</v>
      </c>
      <c r="S36" s="84">
        <f>IFERROR(VLOOKUP($F36,GDHI!$B$338:$U$574,GDHI!Q$578,FALSE),VLOOKUP($F36,GDHI!$C$3:$U$336,GDHI!P$578,FALSE))</f>
        <v>16447</v>
      </c>
      <c r="T36" s="84">
        <f>IFERROR(VLOOKUP($F36,GDHI!$B$338:$U$574,GDHI!R$578,FALSE),VLOOKUP($F36,GDHI!$C$3:$U$336,GDHI!Q$578,FALSE))</f>
        <v>17093</v>
      </c>
      <c r="U36" s="84">
        <f>IFERROR(VLOOKUP($F36,GDHI!$B$338:$U$574,GDHI!S$578,FALSE),VLOOKUP($F36,GDHI!$C$3:$U$336,GDHI!R$578,FALSE))</f>
        <v>17308</v>
      </c>
      <c r="V36" s="84">
        <f>IFERROR(VLOOKUP($F36,GDHI!$B$338:$U$574,GDHI!T$578,FALSE),VLOOKUP($F36,GDHI!$C$3:$U$336,GDHI!S$578,FALSE))</f>
        <v>18003</v>
      </c>
      <c r="W36" s="84">
        <f>IFERROR(VLOOKUP($F36,GDHI!$B$338:$U$574,GDHI!U$578,FALSE),VLOOKUP($F36,GDHI!$C$3:$U$336,GDHI!T$578,FALSE))</f>
        <v>18874</v>
      </c>
      <c r="X36" s="84">
        <f>IFERROR(VLOOKUP($F36,GDHI!$B$338:$U$574,GDHI!V$578,FALSE),VLOOKUP($F36,GDHI!$C$3:$U$336,GDHI!U$578,FALSE))</f>
        <v>19572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King's Lynn and West Norfolk to Rural as a Region</v>
      </c>
      <c r="G39" s="122"/>
      <c r="H39" s="123"/>
      <c r="I39" s="74">
        <f>100*((I36-I37)/I37)</f>
        <v>-20.98303817260954</v>
      </c>
      <c r="J39" s="74">
        <f t="shared" ref="J39:X39" si="6">100*((J36-J37)/J37)</f>
        <v>-21.063474979455744</v>
      </c>
      <c r="K39" s="74">
        <f t="shared" si="6"/>
        <v>-23.851645184658548</v>
      </c>
      <c r="L39" s="74">
        <f t="shared" si="6"/>
        <v>-22.972824411684194</v>
      </c>
      <c r="M39" s="74">
        <f t="shared" si="6"/>
        <v>-21.281665053864334</v>
      </c>
      <c r="N39" s="74">
        <f t="shared" si="6"/>
        <v>-18.110979929161751</v>
      </c>
      <c r="O39" s="74">
        <f t="shared" si="6"/>
        <v>-15.73526261929128</v>
      </c>
      <c r="P39" s="74">
        <f t="shared" si="6"/>
        <v>-14.505846693829067</v>
      </c>
      <c r="Q39" s="74">
        <f t="shared" si="6"/>
        <v>-13.532118119698666</v>
      </c>
      <c r="R39" s="74">
        <f t="shared" si="6"/>
        <v>-13.891855171939646</v>
      </c>
      <c r="S39" s="74">
        <f t="shared" si="6"/>
        <v>-15.204321943548846</v>
      </c>
      <c r="T39" s="74">
        <f t="shared" si="6"/>
        <v>-16.449791737222295</v>
      </c>
      <c r="U39" s="74">
        <f t="shared" si="6"/>
        <v>-16.08203674244961</v>
      </c>
      <c r="V39" s="74">
        <f t="shared" si="6"/>
        <v>-14.130308256028473</v>
      </c>
      <c r="W39" s="74">
        <f t="shared" si="6"/>
        <v>-13.588028241942366</v>
      </c>
      <c r="X39" s="74">
        <f t="shared" si="6"/>
        <v>-12.095733719872689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King's Lynn and West Norfolk</v>
      </c>
      <c r="G44" s="88"/>
      <c r="H44" s="89"/>
      <c r="I44" s="76">
        <f>VLOOKUP($F44,'LOW PAID'!$A$9:$N$444,6,FALSE)</f>
        <v>29.5</v>
      </c>
      <c r="J44" s="77">
        <f>VLOOKUP($F44,'LOW PAID'!$P$9:$W$444,6,FALSE)</f>
        <v>30.9</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King's Lynn and West Norfolk to Rural as a Region</v>
      </c>
      <c r="G47" s="122"/>
      <c r="H47" s="123"/>
      <c r="I47" s="74">
        <f>(I44-I45)</f>
        <v>4.3061253217868831</v>
      </c>
      <c r="J47" s="74">
        <f>(J44-J45)</f>
        <v>5.2138834909699447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King's Lynn and West Norfolk</v>
      </c>
      <c r="G52" s="88"/>
      <c r="H52" s="89"/>
      <c r="I52" s="76">
        <f>VLOOKUP($F52,INACTIVITY!$A$6:$BW$345,6,FALSE)</f>
        <v>21.5</v>
      </c>
      <c r="J52" s="77">
        <f>VLOOKUP($F52,INACTIVITY!$A$6:$BW$345,10,FALSE)</f>
        <v>21.9</v>
      </c>
      <c r="K52" s="77">
        <f>VLOOKUP($F52,INACTIVITY!$A$6:$BW$345,14,FALSE)</f>
        <v>23.3</v>
      </c>
      <c r="L52" s="77">
        <f>VLOOKUP($F52,INACTIVITY!$A$6:$BW$345,18,FALSE)</f>
        <v>28.2</v>
      </c>
      <c r="M52" s="77">
        <f>VLOOKUP($F52,INACTIVITY!$A$6:$BW$345,22,FALSE)</f>
        <v>25.8</v>
      </c>
      <c r="N52" s="77">
        <f>VLOOKUP($F52,INACTIVITY!$A$6:$BW$345,26,FALSE)</f>
        <v>23.8</v>
      </c>
      <c r="O52" s="77">
        <f>VLOOKUP($F52,INACTIVITY!$A$6:$BW$345,30,FALSE)</f>
        <v>22.9</v>
      </c>
      <c r="P52" s="77">
        <f>VLOOKUP($F52,INACTIVITY!$A$6:$BW$345,34,FALSE)</f>
        <v>16.399999999999999</v>
      </c>
      <c r="Q52" s="77">
        <f>VLOOKUP($F52,INACTIVITY!$A$6:$BW$345,38,FALSE)</f>
        <v>25.9</v>
      </c>
      <c r="R52" s="77">
        <f>VLOOKUP($F52,INACTIVITY!$A$6:$BW$345,42,FALSE)</f>
        <v>24.1</v>
      </c>
      <c r="S52" s="77">
        <f>VLOOKUP($F52,INACTIVITY!$A$6:$BW$345,46,FALSE)</f>
        <v>22.1</v>
      </c>
      <c r="T52" s="77">
        <f>VLOOKUP($F52,INACTIVITY!$A$6:$BW$345,50,FALSE)</f>
        <v>16.7</v>
      </c>
      <c r="U52" s="77">
        <f>VLOOKUP($F52,INACTIVITY!$A$6:$BW$345,54,FALSE)</f>
        <v>21.9</v>
      </c>
      <c r="V52" s="77">
        <f>VLOOKUP($F52,INACTIVITY!$A$6:$BW$345,58,FALSE)</f>
        <v>20.3</v>
      </c>
      <c r="W52" s="77">
        <f>VLOOKUP($F52,INACTIVITY!$A$6:$BW$345,62,FALSE)</f>
        <v>25.9</v>
      </c>
      <c r="X52" s="77">
        <f>VLOOKUP($F52,INACTIVITY!$A$6:$BW$345,66,FALSE)</f>
        <v>19.100000000000001</v>
      </c>
      <c r="Y52" s="77">
        <f>VLOOKUP($F52,INACTIVITY!$A$6:$BW$345,70,FALSE)</f>
        <v>18.399999999999999</v>
      </c>
      <c r="Z52" s="77">
        <f>VLOOKUP($F52,INACTIVITY!$A$6:$BW$345,74,FALSE)</f>
        <v>22.9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King's Lynn and West Norfolk to Rural as a Region</v>
      </c>
      <c r="G55" s="122"/>
      <c r="H55" s="123"/>
      <c r="I55" s="74">
        <f>(I52-I53)</f>
        <v>0.10435542838976275</v>
      </c>
      <c r="J55" s="74">
        <f t="shared" ref="J55:Z55" si="10">(J52-J53)</f>
        <v>0.89147727272727195</v>
      </c>
      <c r="K55" s="74">
        <f t="shared" si="10"/>
        <v>2.4375346065412238</v>
      </c>
      <c r="L55" s="74">
        <f t="shared" si="10"/>
        <v>6.88593466846336</v>
      </c>
      <c r="M55" s="74">
        <f t="shared" si="10"/>
        <v>4.9649976891079959</v>
      </c>
      <c r="N55" s="74">
        <f t="shared" si="10"/>
        <v>2.8668562420795602</v>
      </c>
      <c r="O55" s="74">
        <f t="shared" si="10"/>
        <v>1.2080628724948248</v>
      </c>
      <c r="P55" s="74">
        <f t="shared" si="10"/>
        <v>-5.0942457807534502</v>
      </c>
      <c r="Q55" s="74">
        <f t="shared" si="10"/>
        <v>4.7174512055109048</v>
      </c>
      <c r="R55" s="74">
        <f t="shared" si="10"/>
        <v>3.3254069025612303</v>
      </c>
      <c r="S55" s="74">
        <f t="shared" si="10"/>
        <v>1.8267895440276014</v>
      </c>
      <c r="T55" s="74">
        <f t="shared" si="10"/>
        <v>-2.9961946834069586</v>
      </c>
      <c r="U55" s="74">
        <f t="shared" si="10"/>
        <v>2.0475706529305278</v>
      </c>
      <c r="V55" s="74">
        <f t="shared" si="10"/>
        <v>1.0467226657196242</v>
      </c>
      <c r="W55" s="74">
        <f t="shared" si="10"/>
        <v>6.7230439908171498</v>
      </c>
      <c r="X55" s="74">
        <f t="shared" si="10"/>
        <v>0.24793505063507126</v>
      </c>
      <c r="Y55" s="74">
        <f t="shared" si="10"/>
        <v>-1.3725827218714635</v>
      </c>
      <c r="Z55" s="74">
        <f t="shared" si="10"/>
        <v>1.8148202243699281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King's Lynn and West Norfolk</v>
      </c>
      <c r="G60" s="88"/>
      <c r="H60" s="89"/>
      <c r="I60" s="76">
        <f>VLOOKUP($F60,DISABILITY!$A$718:$I$1052,DISABILITY!B$1053,FALSE)</f>
        <v>36.5</v>
      </c>
      <c r="J60" s="77">
        <f>VLOOKUP($F60,DISABILITY!$A$718:$I$1052,DISABILITY!C$1053,FALSE)</f>
        <v>36.099999999999994</v>
      </c>
      <c r="K60" s="77">
        <f>VLOOKUP($F60,DISABILITY!$A$718:$I$1052,DISABILITY!D$1053,FALSE)</f>
        <v>30.999999999999993</v>
      </c>
      <c r="L60" s="77">
        <f>VLOOKUP($F60,DISABILITY!$A$718:$I$1052,DISABILITY!E$1053,FALSE)</f>
        <v>28.800000000000004</v>
      </c>
      <c r="M60" s="77">
        <f>VLOOKUP($F60,DISABILITY!$A$718:$I$1052,DISABILITY!F$1053,FALSE)</f>
        <v>22.300000000000004</v>
      </c>
      <c r="N60" s="77">
        <f>VLOOKUP($F60,DISABILITY!$A$718:$I$1052,DISABILITY!G$1053,FALSE)</f>
        <v>28.599999999999994</v>
      </c>
      <c r="O60" s="77">
        <f>VLOOKUP($F60,DISABILITY!$A$718:$I$1052,DISABILITY!H$1053,FALSE)</f>
        <v>35.299999999999997</v>
      </c>
      <c r="P60" s="77">
        <f>VLOOKUP($F60,DISABILITY!$A$718:$I$1052,DISABILITY!I$1053,FALSE)</f>
        <v>37.9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King's Lynn and West Norfolk to Rural as a Region</v>
      </c>
      <c r="G63" s="122"/>
      <c r="H63" s="123"/>
      <c r="I63" s="74">
        <f>(I60-I61)</f>
        <v>9.0798434593527517</v>
      </c>
      <c r="J63" s="74">
        <f t="shared" ref="J63:P63" si="12">(J60-J61)</f>
        <v>8.780955592948807</v>
      </c>
      <c r="K63" s="74">
        <f t="shared" si="12"/>
        <v>2.8808716385017874</v>
      </c>
      <c r="L63" s="74">
        <f t="shared" si="12"/>
        <v>2.8090654610033283</v>
      </c>
      <c r="M63" s="74">
        <f t="shared" si="12"/>
        <v>-3.1752258186661138</v>
      </c>
      <c r="N63" s="74">
        <f t="shared" si="12"/>
        <v>3.0687523145580116</v>
      </c>
      <c r="O63" s="74">
        <f t="shared" si="12"/>
        <v>11.502777712003052</v>
      </c>
      <c r="P63" s="74">
        <f t="shared" si="12"/>
        <v>12.545822069657824</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King's Lynn and West Norfolk</v>
      </c>
      <c r="G68" s="88"/>
      <c r="H68" s="89"/>
      <c r="I68" s="76">
        <f>VLOOKUP($F68,'WORKLESS HOUSEHOLDS'!$DW$4:$EC$397,7,FALSE)</f>
        <v>10.173194357553312</v>
      </c>
      <c r="J68" s="77">
        <f>VLOOKUP($F68,'WORKLESS HOUSEHOLDS'!$DN$4:$DT$397,7,FALSE)</f>
        <v>11.471640300661372</v>
      </c>
      <c r="K68" s="77">
        <f>VLOOKUP($F68,'WORKLESS HOUSEHOLDS'!$DE$4:$DK$397,7,FALSE)</f>
        <v>15.163173183244666</v>
      </c>
      <c r="L68" s="77">
        <f>VLOOKUP($F68,'WORKLESS HOUSEHOLDS'!$CV$4:$DB$397,7,FALSE)</f>
        <v>17.519804707986658</v>
      </c>
      <c r="M68" s="77">
        <f>VLOOKUP($F68,'WORKLESS HOUSEHOLDS'!$CM$4:$CS$397,7,FALSE)</f>
        <v>20.090970853705485</v>
      </c>
      <c r="N68" s="77">
        <f>VLOOKUP($F68,'WORKLESS HOUSEHOLDS'!$CD$4:$CJ$397,7,FALSE)</f>
        <v>7.6213323491419089</v>
      </c>
      <c r="O68" s="77">
        <f>VLOOKUP($F68,'WORKLESS HOUSEHOLDS'!$BU$4:$CA$397,7,FALSE)</f>
        <v>12.235732616399854</v>
      </c>
      <c r="P68" s="77">
        <f>VLOOKUP($F68,'WORKLESS HOUSEHOLDS'!$BL$4:$BR$397,7,FALSE)</f>
        <v>13.089125252154776</v>
      </c>
      <c r="Q68" s="77">
        <f>VLOOKUP($F68,'WORKLESS HOUSEHOLDS'!$BC$4:$BI$397,7,FALSE)</f>
        <v>14.04751232631107</v>
      </c>
      <c r="R68" s="77">
        <f>VLOOKUP($F68,'WORKLESS HOUSEHOLDS'!$AT$4:$AZ$397,7,FALSE)</f>
        <v>8.234834770879921</v>
      </c>
      <c r="S68" s="77" t="str">
        <f>VLOOKUP($F68,'WORKLESS HOUSEHOLDS'!$AK$4:$AQ$397,7,FALSE)</f>
        <v>#</v>
      </c>
      <c r="T68" s="77">
        <f>VLOOKUP($F68,'WORKLESS HOUSEHOLDS'!$AB$4:$AH$397,7,FALSE)</f>
        <v>6.8018509461645529</v>
      </c>
      <c r="U68" s="77">
        <f>VLOOKUP($F68,'WORKLESS HOUSEHOLDS'!$S$4:$Y$397,7,FALSE)</f>
        <v>15.87582857517884</v>
      </c>
      <c r="V68" s="77" t="str">
        <f>VLOOKUP($F68,'WORKLESS HOUSEHOLDS'!$J$4:$P$397,7,FALSE)</f>
        <v>#</v>
      </c>
      <c r="W68" s="77">
        <f>VLOOKUP($F68,'WORKLESS HOUSEHOLDS'!$B$4:$H$397,7,FALSE)</f>
        <v>14.760339722104716</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King's Lynn and West Norfolk to Rural as a Region</v>
      </c>
      <c r="G71" s="122"/>
      <c r="H71" s="123"/>
      <c r="I71" s="74">
        <f>(I68-I69)</f>
        <v>0.16124849496662108</v>
      </c>
      <c r="J71" s="74">
        <f t="shared" ref="J71:W71" si="14">(J68-J69)</f>
        <v>0.56048546318634784</v>
      </c>
      <c r="K71" s="74">
        <f t="shared" si="14"/>
        <v>4.8699274540888222</v>
      </c>
      <c r="L71" s="74">
        <f t="shared" si="14"/>
        <v>6.5537980466569259</v>
      </c>
      <c r="M71" s="74">
        <f t="shared" si="14"/>
        <v>8.3971916725170122</v>
      </c>
      <c r="N71" s="74">
        <f t="shared" si="14"/>
        <v>-4.2797673301134722</v>
      </c>
      <c r="O71" s="74">
        <f t="shared" si="14"/>
        <v>1.2004793686573425</v>
      </c>
      <c r="P71" s="74">
        <f t="shared" si="14"/>
        <v>3.3976273663869385</v>
      </c>
      <c r="Q71" s="74">
        <f t="shared" si="14"/>
        <v>3.242334065912658</v>
      </c>
      <c r="R71" s="74">
        <f t="shared" si="14"/>
        <v>-2.4712615528496329</v>
      </c>
      <c r="S71" s="74" t="e">
        <f t="shared" si="14"/>
        <v>#VALUE!</v>
      </c>
      <c r="T71" s="74">
        <f t="shared" si="14"/>
        <v>-3.1018172484681976</v>
      </c>
      <c r="U71" s="74">
        <f t="shared" si="14"/>
        <v>5.1137784104993642</v>
      </c>
      <c r="V71" s="74" t="e">
        <f t="shared" si="14"/>
        <v>#VALUE!</v>
      </c>
      <c r="W71" s="74">
        <f t="shared" si="14"/>
        <v>4.4076382989205225</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King's Lynn and West Norfolk</v>
      </c>
      <c r="G76" s="88"/>
      <c r="H76" s="89"/>
      <c r="I76" s="76">
        <f>VLOOKUP($F76,'SKILLED EMPLOYMENT'!$A$1506:$BW$1841,6,FALSE)</f>
        <v>44.900000000000006</v>
      </c>
      <c r="J76" s="77">
        <f>VLOOKUP($F76,'SKILLED EMPLOYMENT'!$A$1506:$BW$1841,10,FALSE)</f>
        <v>48.599999999999994</v>
      </c>
      <c r="K76" s="77">
        <f>VLOOKUP($F76,'SKILLED EMPLOYMENT'!$A$1506:$BW$1841,14,FALSE)</f>
        <v>45</v>
      </c>
      <c r="L76" s="77">
        <f>VLOOKUP($F76,'SKILLED EMPLOYMENT'!$A$1506:$BW$1841,18,FALSE)</f>
        <v>53</v>
      </c>
      <c r="M76" s="77">
        <f>VLOOKUP($F76,'SKILLED EMPLOYMENT'!$A$1506:$BW$1841,22,FALSE)</f>
        <v>50.2</v>
      </c>
      <c r="N76" s="77">
        <f>VLOOKUP($F76,'SKILLED EMPLOYMENT'!$A$1506:$BW$1841,26,FALSE)</f>
        <v>49</v>
      </c>
      <c r="O76" s="77">
        <f>VLOOKUP($F76,'SKILLED EMPLOYMENT'!$A$1506:$BW$1841,30,FALSE)</f>
        <v>48.7</v>
      </c>
      <c r="P76" s="77">
        <f>VLOOKUP($F76,'SKILLED EMPLOYMENT'!$A$1506:$BW$1841,34,FALSE)</f>
        <v>41.2</v>
      </c>
      <c r="Q76" s="77">
        <f>VLOOKUP($F76,'SKILLED EMPLOYMENT'!$A$1506:$BW$1841,38,FALSE)</f>
        <v>51.4</v>
      </c>
      <c r="R76" s="77">
        <f>VLOOKUP($F76,'SKILLED EMPLOYMENT'!$A$1506:$BW$1841,42,FALSE)</f>
        <v>50.5</v>
      </c>
      <c r="S76" s="77">
        <f>VLOOKUP($F76,'SKILLED EMPLOYMENT'!$A$1506:$BW$1841,46,FALSE)</f>
        <v>51.2</v>
      </c>
      <c r="T76" s="77">
        <f>VLOOKUP($F76,'SKILLED EMPLOYMENT'!$A$1506:$BW$1841,50,FALSE)</f>
        <v>51.499999999999993</v>
      </c>
      <c r="U76" s="77">
        <f>VLOOKUP($F76,'SKILLED EMPLOYMENT'!$A$1506:$BW$1841,54,FALSE)</f>
        <v>46.900000000000006</v>
      </c>
      <c r="V76" s="77">
        <f>VLOOKUP($F76,'SKILLED EMPLOYMENT'!$A$1506:$BW$1841,58,FALSE)</f>
        <v>52.9</v>
      </c>
      <c r="W76" s="77">
        <f>VLOOKUP($F76,'SKILLED EMPLOYMENT'!$A$1506:$BW$1841,62,FALSE)</f>
        <v>53.1</v>
      </c>
      <c r="X76" s="77">
        <f>VLOOKUP($F76,'SKILLED EMPLOYMENT'!$A$1506:$BW$1841,66,FALSE)</f>
        <v>50.1</v>
      </c>
      <c r="Y76" s="77">
        <f>VLOOKUP($F76,'SKILLED EMPLOYMENT'!$A$1506:$BW$1841,70,FALSE)</f>
        <v>60.600000000000009</v>
      </c>
      <c r="Z76" s="77">
        <f>VLOOKUP($F76,'SKILLED EMPLOYMENT'!$A$1506:$BW$1841,74,FALSE)</f>
        <v>52.900000000000006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King's Lynn and West Norfolk to Rural as a Region</v>
      </c>
      <c r="G79" s="122"/>
      <c r="H79" s="123"/>
      <c r="I79" s="74">
        <f>(I76-I77)</f>
        <v>-7.7999999999999972</v>
      </c>
      <c r="J79" s="74">
        <f t="shared" ref="J79:Z79" si="17">(J76-J77)</f>
        <v>-4.3000000000000043</v>
      </c>
      <c r="K79" s="74">
        <f t="shared" si="17"/>
        <v>-8.5</v>
      </c>
      <c r="L79" s="74">
        <f t="shared" si="17"/>
        <v>-1</v>
      </c>
      <c r="M79" s="74">
        <f t="shared" si="17"/>
        <v>-3.8999999999999986</v>
      </c>
      <c r="N79" s="74">
        <f t="shared" si="17"/>
        <v>-5.3999999999999986</v>
      </c>
      <c r="O79" s="74">
        <f t="shared" si="17"/>
        <v>-6.6999999999999957</v>
      </c>
      <c r="P79" s="74">
        <f t="shared" si="17"/>
        <v>-14.399999999999999</v>
      </c>
      <c r="Q79" s="74">
        <f t="shared" si="17"/>
        <v>-4</v>
      </c>
      <c r="R79" s="74">
        <f t="shared" si="17"/>
        <v>-5.7000000000000028</v>
      </c>
      <c r="S79" s="74">
        <f t="shared" si="17"/>
        <v>-5</v>
      </c>
      <c r="T79" s="74">
        <f t="shared" si="17"/>
        <v>-5.3000000000000043</v>
      </c>
      <c r="U79" s="74">
        <f t="shared" si="17"/>
        <v>-9.6999999999999957</v>
      </c>
      <c r="V79" s="74">
        <f t="shared" si="17"/>
        <v>-4.2000000000000028</v>
      </c>
      <c r="W79" s="74">
        <f t="shared" si="17"/>
        <v>-4.6999999999999957</v>
      </c>
      <c r="X79" s="74">
        <f t="shared" si="17"/>
        <v>-8.6999999999999957</v>
      </c>
      <c r="Y79" s="74">
        <f t="shared" si="17"/>
        <v>1.9000000000000057</v>
      </c>
      <c r="Z79" s="74">
        <f t="shared" si="17"/>
        <v>-5.4999999999999929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CP+q28pV0RQGsfTaHRV0lA0pVwAVqmtKyhrbqqW2VbDTaNNSsaZMjLTm3tenCbB62tUo9SrGtMUyVF0yd3fyuw==" saltValue="dvFIWMxvK/x5PQXiwcQ/Z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2022-08-02T11:23:27Z</dcterms:modified>
</cp:coreProperties>
</file>