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2" documentId="8_{098884A7-CE8F-4135-9E4B-CA34512DADB4}" xr6:coauthVersionLast="47" xr6:coauthVersionMax="47" xr10:uidLastSave="{C3EC39A9-536C-49C1-9131-DB1C8A981E53}"/>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<sst xmlns="http://schemas.openxmlformats.org/spreadsheetml/2006/main" count="32859" uniqueCount="1676">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</sst>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Lichfield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23.01</c:v>
                </c:pt>
                <c:pt idx="1">
                  <c:v>22.92</c:v>
                </c:pt>
                <c:pt idx="2">
                  <c:v>23.28</c:v>
                </c:pt>
                <c:pt idx="3">
                  <c:v>23.23</c:v>
                </c:pt>
                <c:pt idx="4">
                  <c:v>23.32</c:v>
                </c:pt>
                <c:pt idx="5">
                  <c:v>23.7</c:v>
                </c:pt>
                <c:pt idx="6">
                  <c:v>24.26</c:v>
                </c:pt>
                <c:pt idx="7">
                  <c:v>24.35</c:v>
                </c:pt>
                <c:pt idx="8">
                  <c:v>24.14</c:v>
                </c:pt>
                <c:pt idx="9">
                  <c:v>24.36</c:v>
                </c:pt>
                <c:pt idx="10">
                  <c:v>25.39</c:v>
                </c:pt>
                <c:pt idx="11">
                  <c:v>26.88</c:v>
                </c:pt>
                <c:pt idx="12">
                  <c:v>28</c:v>
                </c:pt>
                <c:pt idx="13">
                  <c:v>28.48</c:v>
                </c:pt>
                <c:pt idx="14">
                  <c:v>28.4</c:v>
                </c:pt>
                <c:pt idx="15">
                  <c:v>28.23</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Lichfield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469.9</c:v>
                </c:pt>
                <c:pt idx="1">
                  <c:v>470</c:v>
                </c:pt>
                <c:pt idx="2">
                  <c:v>482.1</c:v>
                </c:pt>
                <c:pt idx="3">
                  <c:v>449</c:v>
                </c:pt>
                <c:pt idx="4">
                  <c:v>433.7</c:v>
                </c:pt>
                <c:pt idx="5">
                  <c:v>461.2</c:v>
                </c:pt>
                <c:pt idx="6">
                  <c:v>461.6</c:v>
                </c:pt>
                <c:pt idx="7">
                  <c:v>492.3</c:v>
                </c:pt>
                <c:pt idx="8">
                  <c:v>528.20000000000005</c:v>
                </c:pt>
                <c:pt idx="9">
                  <c:v>494.1</c:v>
                </c:pt>
                <c:pt idx="10">
                  <c:v>496.9</c:v>
                </c:pt>
                <c:pt idx="11">
                  <c:v>499.8</c:v>
                </c:pt>
                <c:pt idx="12">
                  <c:v>517.70000000000005</c:v>
                </c:pt>
                <c:pt idx="13">
                  <c:v>517.29999999999995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Lichfield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76.900000000000006</c:v>
                </c:pt>
                <c:pt idx="1">
                  <c:v>77.3</c:v>
                </c:pt>
                <c:pt idx="2">
                  <c:v>78</c:v>
                </c:pt>
                <c:pt idx="3">
                  <c:v>76.599999999999994</c:v>
                </c:pt>
                <c:pt idx="4">
                  <c:v>80.3</c:v>
                </c:pt>
                <c:pt idx="5">
                  <c:v>79.599999999999994</c:v>
                </c:pt>
                <c:pt idx="6">
                  <c:v>74.400000000000006</c:v>
                </c:pt>
                <c:pt idx="7">
                  <c:v>72.2</c:v>
                </c:pt>
                <c:pt idx="8">
                  <c:v>78.8</c:v>
                </c:pt>
                <c:pt idx="9">
                  <c:v>73.900000000000006</c:v>
                </c:pt>
                <c:pt idx="10">
                  <c:v>78.8</c:v>
                </c:pt>
                <c:pt idx="11">
                  <c:v>80.3</c:v>
                </c:pt>
                <c:pt idx="12">
                  <c:v>76.7</c:v>
                </c:pt>
                <c:pt idx="13">
                  <c:v>78.7</c:v>
                </c:pt>
                <c:pt idx="14">
                  <c:v>76.400000000000006</c:v>
                </c:pt>
                <c:pt idx="15">
                  <c:v>76.900000000000006</c:v>
                </c:pt>
                <c:pt idx="16">
                  <c:v>76.8</c:v>
                </c:pt>
                <c:pt idx="17">
                  <c:v>67.3</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Lichfield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15912</c:v>
                </c:pt>
                <c:pt idx="1">
                  <c:v>16467</c:v>
                </c:pt>
                <c:pt idx="2">
                  <c:v>17002</c:v>
                </c:pt>
                <c:pt idx="3">
                  <c:v>17663</c:v>
                </c:pt>
                <c:pt idx="4">
                  <c:v>18263</c:v>
                </c:pt>
                <c:pt idx="5">
                  <c:v>17851</c:v>
                </c:pt>
                <c:pt idx="6">
                  <c:v>18137</c:v>
                </c:pt>
                <c:pt idx="7">
                  <c:v>18147</c:v>
                </c:pt>
                <c:pt idx="8">
                  <c:v>18626</c:v>
                </c:pt>
                <c:pt idx="9">
                  <c:v>19215</c:v>
                </c:pt>
                <c:pt idx="10">
                  <c:v>19920</c:v>
                </c:pt>
                <c:pt idx="11">
                  <c:v>21089</c:v>
                </c:pt>
                <c:pt idx="12">
                  <c:v>21159</c:v>
                </c:pt>
                <c:pt idx="13">
                  <c:v>21444</c:v>
                </c:pt>
                <c:pt idx="14">
                  <c:v>22236</c:v>
                </c:pt>
                <c:pt idx="15">
                  <c:v>22974</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Lichfield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33.200000000000003</c:v>
                </c:pt>
                <c:pt idx="1">
                  <c:v>32.9</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Lichfield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20.399999999999999</c:v>
                </c:pt>
                <c:pt idx="1">
                  <c:v>19.100000000000001</c:v>
                </c:pt>
                <c:pt idx="2">
                  <c:v>18.2</c:v>
                </c:pt>
                <c:pt idx="3">
                  <c:v>22.1</c:v>
                </c:pt>
                <c:pt idx="4">
                  <c:v>16.2</c:v>
                </c:pt>
                <c:pt idx="5">
                  <c:v>14.1</c:v>
                </c:pt>
                <c:pt idx="6">
                  <c:v>21.5</c:v>
                </c:pt>
                <c:pt idx="7">
                  <c:v>21.8</c:v>
                </c:pt>
                <c:pt idx="8">
                  <c:v>17.8</c:v>
                </c:pt>
                <c:pt idx="9">
                  <c:v>21.1</c:v>
                </c:pt>
                <c:pt idx="10">
                  <c:v>16.2</c:v>
                </c:pt>
                <c:pt idx="11">
                  <c:v>16.7</c:v>
                </c:pt>
                <c:pt idx="12">
                  <c:v>21.8</c:v>
                </c:pt>
                <c:pt idx="13">
                  <c:v>19.899999999999999</c:v>
                </c:pt>
                <c:pt idx="14">
                  <c:v>20.2</c:v>
                </c:pt>
                <c:pt idx="15">
                  <c:v>20.8</c:v>
                </c:pt>
                <c:pt idx="16">
                  <c:v>16.899999999999999</c:v>
                </c:pt>
                <c:pt idx="17">
                  <c:v>29.2</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Lichfield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29.4</c:v>
                </c:pt>
                <c:pt idx="1">
                  <c:v>0.69999999999998863</c:v>
                </c:pt>
                <c:pt idx="2">
                  <c:v>20.9</c:v>
                </c:pt>
                <c:pt idx="3">
                  <c:v>25.1</c:v>
                </c:pt>
                <c:pt idx="4">
                  <c:v>14.299999999999997</c:v>
                </c:pt>
                <c:pt idx="5">
                  <c:v>27.999999999999993</c:v>
                </c:pt>
                <c:pt idx="6">
                  <c:v>40.799999999999997</c:v>
                </c:pt>
                <c:pt idx="7">
                  <c:v>29.4</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Lichfield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10.230073834377276</c:v>
                </c:pt>
                <c:pt idx="1">
                  <c:v>5.1790463282758274</c:v>
                </c:pt>
                <c:pt idx="2">
                  <c:v>12.48917188884025</c:v>
                </c:pt>
                <c:pt idx="3">
                  <c:v>8.7795808872830339</c:v>
                </c:pt>
                <c:pt idx="4">
                  <c:v>7.3716905996351363</c:v>
                </c:pt>
                <c:pt idx="5">
                  <c:v>10.407744206512174</c:v>
                </c:pt>
                <c:pt idx="6">
                  <c:v>3.5969731522753188</c:v>
                </c:pt>
                <c:pt idx="7">
                  <c:v>10.069122046837924</c:v>
                </c:pt>
                <c:pt idx="8">
                  <c:v>0</c:v>
                </c:pt>
                <c:pt idx="9">
                  <c:v>8.2363890181479764</c:v>
                </c:pt>
                <c:pt idx="10">
                  <c:v>6.0117942557606208</c:v>
                </c:pt>
                <c:pt idx="11">
                  <c:v>0</c:v>
                </c:pt>
                <c:pt idx="12">
                  <c:v>0</c:v>
                </c:pt>
                <c:pt idx="13">
                  <c:v>0</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Lichfield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55.599999999999994</c:v>
                </c:pt>
                <c:pt idx="1">
                  <c:v>53</c:v>
                </c:pt>
                <c:pt idx="2">
                  <c:v>54</c:v>
                </c:pt>
                <c:pt idx="3">
                  <c:v>55</c:v>
                </c:pt>
                <c:pt idx="4">
                  <c:v>58</c:v>
                </c:pt>
                <c:pt idx="5">
                  <c:v>51.999999999999993</c:v>
                </c:pt>
                <c:pt idx="6">
                  <c:v>61.7</c:v>
                </c:pt>
                <c:pt idx="7">
                  <c:v>57.7</c:v>
                </c:pt>
                <c:pt idx="8">
                  <c:v>61.099999999999994</c:v>
                </c:pt>
                <c:pt idx="9">
                  <c:v>60.6</c:v>
                </c:pt>
                <c:pt idx="10">
                  <c:v>62.900000000000006</c:v>
                </c:pt>
                <c:pt idx="11">
                  <c:v>55.4</c:v>
                </c:pt>
                <c:pt idx="12">
                  <c:v>52.699999999999996</c:v>
                </c:pt>
                <c:pt idx="13">
                  <c:v>57</c:v>
                </c:pt>
                <c:pt idx="14">
                  <c:v>69.400000000000006</c:v>
                </c:pt>
                <c:pt idx="15">
                  <c:v>77.099999999999994</c:v>
                </c:pt>
                <c:pt idx="16">
                  <c:v>63.7</c:v>
                </c:pt>
                <c:pt idx="17">
                  <c:v>69.8</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30</xdr:row>
      <xdr:rowOff>160020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9220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Lichfield has from 2004 to 2020 been higher than the England situation but has fluctuated taking it both above and below the rural situation, until 2021 where it fell below both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within Lichfield has from 2004 to 2019 surpassed that seen in 'Rural as a Region' and England, albeit with a reduced gap.</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dropping between 2017 and 2018 for Lichfield, it's proportion remained markedly higher than that seen for both 'Rural as a Region' and England.</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Lichfield's economic inactivity rate from 2004 to 2020 has fluctuated from being in line with to being below the rural situation, followed by a significant increase in 2021 taking it above both the rural and England situations.</a:t>
          </a:r>
          <a:endParaRPr lang="en-GB" sz="1100">
            <a:latin typeface="Avenir Next LT Pro" panose="020B0504020202020204" pitchFamily="34" charset="0"/>
          </a:endParaRP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Lichfield shows no real pattern of change with some clear fluctuations from year to year.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Lichfield is unclear due to data unavailability in a number of years and inconsistent data for the years where it is available.</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Lichfield in general has a higher proportion of employed people in skilled employment than seen for 'Rural as a Region' or England, and the gap appears to be widening.</a:t>
          </a:r>
          <a:endParaRPr lang="en-GB" sz="1100">
            <a:latin typeface="Avenir Next LT Pro" panose="020B0504020202020204" pitchFamily="34" charset="0"/>
          </a:endParaRPr>
        </a:p>
      </xdr:txBody>
    </xdr:sp>
    <xdr:clientData/>
  </xdr:twoCellAnchor>
  <xdr:twoCellAnchor>
    <xdr:from>
      <xdr:col>0</xdr:col>
      <xdr:colOff>601980</xdr:colOff>
      <xdr:row>20</xdr:row>
      <xdr:rowOff>609600</xdr:rowOff>
    </xdr:from>
    <xdr:to>
      <xdr:col>1</xdr:col>
      <xdr:colOff>2583180</xdr:colOff>
      <xdr:row>22</xdr:row>
      <xdr:rowOff>137160</xdr:rowOff>
    </xdr:to>
    <xdr:sp macro="" textlink="">
      <xdr:nvSpPr>
        <xdr:cNvPr id="20" name="TextBox 19">
          <a:extLst>
            <a:ext uri="{FF2B5EF4-FFF2-40B4-BE49-F238E27FC236}">
              <a16:creationId xmlns:a16="http://schemas.microsoft.com/office/drawing/2014/main" id="{E6E1E2E7-019D-420F-A273-A8386C82AE2D}"/>
            </a:ext>
          </a:extLst>
        </xdr:cNvPr>
        <xdr:cNvSpPr txBox="1"/>
      </xdr:nvSpPr>
      <xdr:spPr>
        <a:xfrm>
          <a:off x="601980" y="753618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Lichfield has due to an overall lower rate of increase dropped from being above the rural situation in 2008 to being below the rural situation in 2021.</a:t>
          </a:r>
          <a:endParaRPr lang="en-GB" sz="1100">
            <a:latin typeface="Avenir Next LT Pro" panose="020B0504020202020204" pitchFamily="34" charset="0"/>
          </a:endParaRPr>
        </a:p>
      </xdr:txBody>
    </xdr:sp>
    <xdr:clientData/>
  </xdr:twoCellAnchor>
  <xdr:twoCellAnchor>
    <xdr:from>
      <xdr:col>0</xdr:col>
      <xdr:colOff>586740</xdr:colOff>
      <xdr:row>12</xdr:row>
      <xdr:rowOff>502920</xdr:rowOff>
    </xdr:from>
    <xdr:to>
      <xdr:col>1</xdr:col>
      <xdr:colOff>2567940</xdr:colOff>
      <xdr:row>14</xdr:row>
      <xdr:rowOff>7620</xdr:rowOff>
    </xdr:to>
    <xdr:sp macro="" textlink="">
      <xdr:nvSpPr>
        <xdr:cNvPr id="21" name="TextBox 20">
          <a:extLst>
            <a:ext uri="{FF2B5EF4-FFF2-40B4-BE49-F238E27FC236}">
              <a16:creationId xmlns:a16="http://schemas.microsoft.com/office/drawing/2014/main" id="{1FCE546A-0615-49F6-A440-E0BB4B9EAB2D}"/>
            </a:ext>
          </a:extLst>
        </xdr:cNvPr>
        <xdr:cNvSpPr txBox="1"/>
      </xdr:nvSpPr>
      <xdr:spPr>
        <a:xfrm>
          <a:off x="586740" y="348996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Lichfield from 2004 to 2019 consistently sits below the rural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326</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Lichfield</v>
      </c>
      <c r="G12" s="88" t="str">
        <f>IFERROR(VLOOKUP(F12,GVA!B244:B552,1,FALSE),VLOOKUP(F12,GVA!B6:C230,2,FALSE))</f>
        <v>Lichfield</v>
      </c>
      <c r="H12" s="89" t="str">
        <f>IF(F12=G12,"",G12)</f>
        <v/>
      </c>
      <c r="I12" s="76">
        <f>IFERROR(VLOOKUP($F12,GVA!$B$7:$S$230,GVA!D$3,FALSE),VLOOKUP($F12,GVA!$B$244:$T$554,GVA!E$3,FALSE))</f>
        <v>23.01</v>
      </c>
      <c r="J12" s="77">
        <f>IFERROR(VLOOKUP($F12,GVA!$B$7:$S$230,GVA!E$3,FALSE),VLOOKUP($F12,GVA!$B$244:$T$554,GVA!F$3,FALSE))</f>
        <v>22.92</v>
      </c>
      <c r="K12" s="77">
        <f>IFERROR(VLOOKUP($F12,GVA!$B$7:$S$230,GVA!F$3,FALSE),VLOOKUP($F12,GVA!$B$244:$T$554,GVA!G$3,FALSE))</f>
        <v>23.28</v>
      </c>
      <c r="L12" s="77">
        <f>IFERROR(VLOOKUP($F12,GVA!$B$7:$S$230,GVA!G$3,FALSE),VLOOKUP($F12,GVA!$B$244:$T$554,GVA!H$3,FALSE))</f>
        <v>23.23</v>
      </c>
      <c r="M12" s="77">
        <f>IFERROR(VLOOKUP($F12,GVA!$B$7:$S$230,GVA!H$3,FALSE),VLOOKUP($F12,GVA!$B$244:$T$554,GVA!I$3,FALSE))</f>
        <v>23.32</v>
      </c>
      <c r="N12" s="77">
        <f>IFERROR(VLOOKUP($F12,GVA!$B$7:$S$230,GVA!I$3,FALSE),VLOOKUP($F12,GVA!$B$244:$T$554,GVA!J$3,FALSE))</f>
        <v>23.7</v>
      </c>
      <c r="O12" s="77">
        <f>IFERROR(VLOOKUP($F12,GVA!$B$7:$S$230,GVA!J$3,FALSE),VLOOKUP($F12,GVA!$B$244:$T$554,GVA!K$3,FALSE))</f>
        <v>24.26</v>
      </c>
      <c r="P12" s="77">
        <f>IFERROR(VLOOKUP($F12,GVA!$B$7:$S$230,GVA!K$3,FALSE),VLOOKUP($F12,GVA!$B$244:$T$554,GVA!L$3,FALSE))</f>
        <v>24.35</v>
      </c>
      <c r="Q12" s="77">
        <f>IFERROR(VLOOKUP($F12,GVA!$B$7:$S$230,GVA!L$3,FALSE),VLOOKUP($F12,GVA!$B$244:$T$554,GVA!M$3,FALSE))</f>
        <v>24.14</v>
      </c>
      <c r="R12" s="77">
        <f>IFERROR(VLOOKUP($F12,GVA!$B$7:$S$230,GVA!M$3,FALSE),VLOOKUP($F12,GVA!$B$244:$T$554,GVA!N$3,FALSE))</f>
        <v>24.36</v>
      </c>
      <c r="S12" s="77">
        <f>IFERROR(VLOOKUP($F12,GVA!$B$7:$S$230,GVA!N$3,FALSE),VLOOKUP($F12,GVA!$B$244:$T$554,GVA!O$3,FALSE))</f>
        <v>25.39</v>
      </c>
      <c r="T12" s="77">
        <f>IFERROR(VLOOKUP($F12,GVA!$B$7:$S$230,GVA!O$3,FALSE),VLOOKUP($F12,GVA!$B$244:$T$554,GVA!P$3,FALSE))</f>
        <v>26.88</v>
      </c>
      <c r="U12" s="77">
        <f>IFERROR(VLOOKUP($F12,GVA!$B$7:$S$230,GVA!P$3,FALSE),VLOOKUP($F12,GVA!$B$244:$T$554,GVA!Q$3,FALSE))</f>
        <v>28</v>
      </c>
      <c r="V12" s="77">
        <f>IFERROR(VLOOKUP($F12,GVA!$B$7:$S$230,GVA!Q$3,FALSE),VLOOKUP($F12,GVA!$B$244:$T$554,GVA!R$3,FALSE))</f>
        <v>28.48</v>
      </c>
      <c r="W12" s="77">
        <f>IFERROR(VLOOKUP($F12,GVA!$B$7:$S$230,GVA!R$3,FALSE),VLOOKUP($F12,GVA!$B$244:$T$554,GVA!S$3,FALSE))</f>
        <v>28.4</v>
      </c>
      <c r="X12" s="77">
        <f>IFERROR(VLOOKUP($F12,GVA!$B$7:$S$230,GVA!S$3,FALSE),VLOOKUP($F12,GVA!$B$244:$T$554,GVA!T$3,FALSE))</f>
        <v>28.23</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Lichfield to Rural as a Region</v>
      </c>
      <c r="G15" s="122"/>
      <c r="H15" s="123"/>
      <c r="I15" s="74">
        <f>100*((I12-I13)/I13)</f>
        <v>-2.2519811669034606</v>
      </c>
      <c r="J15" s="74">
        <f t="shared" ref="J15:X15" si="0">100*((J12-J13)/J13)</f>
        <v>-2.3632269712152825</v>
      </c>
      <c r="K15" s="74">
        <f t="shared" si="0"/>
        <v>-4.2130167080572427</v>
      </c>
      <c r="L15" s="74">
        <f t="shared" si="0"/>
        <v>-6.476102835451794</v>
      </c>
      <c r="M15" s="74">
        <f t="shared" si="0"/>
        <v>-7.6970922096096865</v>
      </c>
      <c r="N15" s="74">
        <f t="shared" si="0"/>
        <v>-6.9593543050226501</v>
      </c>
      <c r="O15" s="74">
        <f t="shared" si="0"/>
        <v>-5.9329662061420381</v>
      </c>
      <c r="P15" s="74">
        <f t="shared" si="0"/>
        <v>-6.9710324878221641</v>
      </c>
      <c r="Q15" s="74">
        <f t="shared" si="0"/>
        <v>-9.6242813210322318</v>
      </c>
      <c r="R15" s="74">
        <f t="shared" si="0"/>
        <v>-10.355251225570768</v>
      </c>
      <c r="S15" s="74">
        <f t="shared" si="0"/>
        <v>-8.0893094933354313</v>
      </c>
      <c r="T15" s="74">
        <f t="shared" si="0"/>
        <v>-4.5050836561722747</v>
      </c>
      <c r="U15" s="74">
        <f t="shared" si="0"/>
        <v>-2.9026012360102325</v>
      </c>
      <c r="V15" s="74">
        <f t="shared" si="0"/>
        <v>-3.8514559009705884</v>
      </c>
      <c r="W15" s="74">
        <f t="shared" si="0"/>
        <v>-6.0672759273769046</v>
      </c>
      <c r="X15" s="74">
        <f t="shared" si="0"/>
        <v>-7.5980688225506796</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Lichfield</v>
      </c>
      <c r="G20" s="88"/>
      <c r="H20" s="89"/>
      <c r="I20" s="80">
        <f>IF(VLOOKUP($F20,PAY!$A$11:$AE$349,4,FALSE)="-",#N/A,VLOOKUP($F20,PAY!$A$11:$AE$349,4,FALSE))</f>
        <v>469.9</v>
      </c>
      <c r="J20" s="80">
        <f>IF(VLOOKUP($F20,PAY!$A$11:$AE$349,6,FALSE)="-",#N/A,VLOOKUP($F20,PAY!$A$11:$AE$349,6,FALSE))</f>
        <v>470</v>
      </c>
      <c r="K20" s="80">
        <f>IF(VLOOKUP($F20,PAY!$A$11:$AE$349,8,FALSE)="-",#N/A,VLOOKUP($F20,PAY!$A$11:$AE$349,8,FALSE))</f>
        <v>482.1</v>
      </c>
      <c r="L20" s="80">
        <f>IF(VLOOKUP($F20,PAY!$A$11:$AE$349,10,FALSE)="-",#N/A,VLOOKUP($F20,PAY!$A$11:$AE$349,10,FALSE))</f>
        <v>449</v>
      </c>
      <c r="M20" s="80">
        <f>IF(VLOOKUP($F20,PAY!$A$11:$AE$349,12,FALSE)="-",#N/A,VLOOKUP($F20,PAY!$A$11:$AE$349,12,FALSE))</f>
        <v>433.7</v>
      </c>
      <c r="N20" s="80">
        <f>IF(VLOOKUP($F20,PAY!$A$11:$AE$349,14,FALSE)="-",#N/A,VLOOKUP($F20,PAY!$A$11:$AE$349,14,FALSE))</f>
        <v>461.2</v>
      </c>
      <c r="O20" s="80">
        <f>IF(VLOOKUP($F20,PAY!$A$11:$AE$349,16,FALSE)="-",#N/A,VLOOKUP($F20,PAY!$A$11:$AE$349,16,FALSE))</f>
        <v>461.6</v>
      </c>
      <c r="P20" s="80">
        <f>IF(VLOOKUP($F20,PAY!$A$11:$AE$349,18,FALSE)="-",#N/A,VLOOKUP($F20,PAY!$A$11:$AE$349,18,FALSE))</f>
        <v>492.3</v>
      </c>
      <c r="Q20" s="80">
        <f>IF(VLOOKUP($F20,PAY!$A$11:$AE$349,20,FALSE)="-",#N/A,VLOOKUP($F20,PAY!$A$11:$AE$349,20,FALSE))</f>
        <v>528.20000000000005</v>
      </c>
      <c r="R20" s="80">
        <f>IF(VLOOKUP($F20,PAY!$A$11:$AE$349,22,FALSE)="-",#N/A,VLOOKUP($F20,PAY!$A$11:$AE$349,22,FALSE))</f>
        <v>494.1</v>
      </c>
      <c r="S20" s="80">
        <f>IF(VLOOKUP($F20,PAY!$A$11:$AE$349,24,FALSE)="-",#N/A,VLOOKUP($F20,PAY!$A$11:$AE$349,24,FALSE))</f>
        <v>496.9</v>
      </c>
      <c r="T20" s="80">
        <f>IF(VLOOKUP($F20,PAY!$A$11:$AE$349,26,FALSE)="-",#N/A,VLOOKUP($F20,PAY!$A$11:$AE$349,26,FALSE))</f>
        <v>499.8</v>
      </c>
      <c r="U20" s="80">
        <f>IF(VLOOKUP($F20,PAY!$A$11:$AE$349,28,FALSE)="-",#N/A,VLOOKUP($F20,PAY!$A$11:$AE$349,28,FALSE))</f>
        <v>517.70000000000005</v>
      </c>
      <c r="V20" s="80">
        <f>IF(VLOOKUP($F20,PAY!$A$11:$AE$349,30,FALSE)="-",#N/A,VLOOKUP($F20,PAY!$A$11:$AE$349,30,FALSE))</f>
        <v>517.29999999999995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Lichfield to Rural as a Region</v>
      </c>
      <c r="G23" s="122"/>
      <c r="H23" s="123"/>
      <c r="I23" s="74">
        <f>100*((I20-I21)/I21)</f>
        <v>8.5238434912764838</v>
      </c>
      <c r="J23" s="74">
        <f t="shared" ref="J23:V23" si="2">100*((J20-J21)/J21)</f>
        <v>7.5699490759283599</v>
      </c>
      <c r="K23" s="74">
        <f t="shared" si="2"/>
        <v>7.5845529350948491</v>
      </c>
      <c r="L23" s="74">
        <f t="shared" si="2"/>
        <v>-0.3668374455080482</v>
      </c>
      <c r="M23" s="74">
        <f t="shared" si="2"/>
        <v>-4.7322059158830321</v>
      </c>
      <c r="N23" s="74">
        <f t="shared" si="2"/>
        <v>-0.42579241663159506</v>
      </c>
      <c r="O23" s="74">
        <f t="shared" si="2"/>
        <v>-1.9546478676324235</v>
      </c>
      <c r="P23" s="74">
        <f t="shared" si="2"/>
        <v>3.6810633709135199</v>
      </c>
      <c r="Q23" s="74">
        <f t="shared" si="2"/>
        <v>7.9099332542003795</v>
      </c>
      <c r="R23" s="74">
        <f t="shared" si="2"/>
        <v>-1.975364447960186</v>
      </c>
      <c r="S23" s="74">
        <f t="shared" si="2"/>
        <v>-3.4068307299877394</v>
      </c>
      <c r="T23" s="74">
        <f t="shared" si="2"/>
        <v>-6.3516741875545</v>
      </c>
      <c r="U23" s="74">
        <f t="shared" si="2"/>
        <v>-2.5135558227646611</v>
      </c>
      <c r="V23" s="74">
        <f t="shared" si="2"/>
        <v>-8.321464946800484</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Lichfield</v>
      </c>
      <c r="G28" s="88"/>
      <c r="H28" s="89"/>
      <c r="I28" s="76">
        <f>VLOOKUP($F28,EMPLOYMENT!$A$6:$BW$345,6,FALSE)</f>
        <v>76.900000000000006</v>
      </c>
      <c r="J28" s="77">
        <f>VLOOKUP($F28,EMPLOYMENT!$A$6:$BW$345,10,FALSE)</f>
        <v>77.3</v>
      </c>
      <c r="K28" s="77">
        <f>VLOOKUP($F28,EMPLOYMENT!$A$6:$BW$345,14,FALSE)</f>
        <v>78</v>
      </c>
      <c r="L28" s="77">
        <f>VLOOKUP($F28,EMPLOYMENT!$A$6:$BW$345,18,FALSE)</f>
        <v>76.599999999999994</v>
      </c>
      <c r="M28" s="77">
        <f>VLOOKUP($F28,EMPLOYMENT!$A$6:$BW$345,22,FALSE)</f>
        <v>80.3</v>
      </c>
      <c r="N28" s="77">
        <f>VLOOKUP($F28,EMPLOYMENT!$A$6:$BW$345,26,FALSE)</f>
        <v>79.599999999999994</v>
      </c>
      <c r="O28" s="77">
        <f>VLOOKUP($F28,EMPLOYMENT!$A$6:$BW$345,30,FALSE)</f>
        <v>74.400000000000006</v>
      </c>
      <c r="P28" s="77">
        <f>VLOOKUP($F28,EMPLOYMENT!$A$6:$BW$345,34,FALSE)</f>
        <v>72.2</v>
      </c>
      <c r="Q28" s="77">
        <f>VLOOKUP($F28,EMPLOYMENT!$A$6:$BW$345,38,FALSE)</f>
        <v>78.8</v>
      </c>
      <c r="R28" s="77">
        <f>VLOOKUP($F28,EMPLOYMENT!$A$6:$BW$345,42,FALSE)</f>
        <v>73.900000000000006</v>
      </c>
      <c r="S28" s="77">
        <f>VLOOKUP($F28,EMPLOYMENT!$A$6:$BW$345,46,FALSE)</f>
        <v>78.8</v>
      </c>
      <c r="T28" s="77">
        <f>VLOOKUP($F28,EMPLOYMENT!$A$6:$BW$345,50,FALSE)</f>
        <v>80.3</v>
      </c>
      <c r="U28" s="77">
        <f>VLOOKUP($F28,EMPLOYMENT!$A$6:$BW$345,54,FALSE)</f>
        <v>76.7</v>
      </c>
      <c r="V28" s="77">
        <f>VLOOKUP($F28,EMPLOYMENT!$A$6:$BW$345,58,FALSE)</f>
        <v>78.7</v>
      </c>
      <c r="W28" s="77">
        <f>VLOOKUP($F28,EMPLOYMENT!$A$6:$BW$345,62,FALSE)</f>
        <v>76.400000000000006</v>
      </c>
      <c r="X28" s="77">
        <f>VLOOKUP($F28,EMPLOYMENT!$A$6:$BW$345,66,FALSE)</f>
        <v>76.900000000000006</v>
      </c>
      <c r="Y28" s="77">
        <f>VLOOKUP($F28,EMPLOYMENT!$A$6:$BW$345,70,FALSE)</f>
        <v>76.8</v>
      </c>
      <c r="Z28" s="77">
        <f>VLOOKUP($F28,EMPLOYMENT!$A$6:$BW$345,74,FALSE)</f>
        <v>67.3</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Lichfield to Rural as a Region</v>
      </c>
      <c r="G31" s="122"/>
      <c r="H31" s="123"/>
      <c r="I31" s="74">
        <f>(I28-I29)</f>
        <v>0.78865808059826747</v>
      </c>
      <c r="J31" s="74">
        <f t="shared" ref="J31:Z31" si="4">(J28-J29)</f>
        <v>0.98702453331704021</v>
      </c>
      <c r="K31" s="74">
        <f t="shared" si="4"/>
        <v>2.1268111005132369</v>
      </c>
      <c r="L31" s="74">
        <f t="shared" si="4"/>
        <v>0.9595316973721566</v>
      </c>
      <c r="M31" s="74">
        <f t="shared" si="4"/>
        <v>4.5644756266682549</v>
      </c>
      <c r="N31" s="74">
        <f t="shared" si="4"/>
        <v>5.0904601571268131</v>
      </c>
      <c r="O31" s="74">
        <f t="shared" si="4"/>
        <v>0.85286686103013665</v>
      </c>
      <c r="P31" s="74">
        <f t="shared" si="4"/>
        <v>-1.5342954032776106</v>
      </c>
      <c r="Q31" s="74">
        <f t="shared" si="4"/>
        <v>4.7668425245374237</v>
      </c>
      <c r="R31" s="74">
        <f t="shared" si="4"/>
        <v>-0.84447492990020123</v>
      </c>
      <c r="S31" s="74">
        <f t="shared" si="4"/>
        <v>2.6911396599243886</v>
      </c>
      <c r="T31" s="74">
        <f t="shared" si="4"/>
        <v>3.1094680243909778</v>
      </c>
      <c r="U31" s="74">
        <f t="shared" si="4"/>
        <v>-0.27163248170803911</v>
      </c>
      <c r="V31" s="74">
        <f t="shared" si="4"/>
        <v>0.66721311475410516</v>
      </c>
      <c r="W31" s="74">
        <f t="shared" si="4"/>
        <v>-1.6481568934141393</v>
      </c>
      <c r="X31" s="74">
        <f t="shared" si="4"/>
        <v>-1.6912993789566997</v>
      </c>
      <c r="Y31" s="74">
        <f t="shared" si="4"/>
        <v>-0.2143462961292073</v>
      </c>
      <c r="Z31" s="74">
        <f t="shared" si="4"/>
        <v>-8.8557580778790452</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Lichfield</v>
      </c>
      <c r="G36" s="88" t="str">
        <f>IFERROR(VLOOKUP(F36,GDHI!B338:C574,2,FALSE),VLOOKUP(F36,GDHI!C3:C336,1,FALSE))</f>
        <v>Lichfield</v>
      </c>
      <c r="H36" s="89" t="str">
        <f>IF(F36=G36,"",G36)</f>
        <v/>
      </c>
      <c r="I36" s="83">
        <f>IFERROR(VLOOKUP($F36,GDHI!$B$338:$U$574,GDHI!G$578,FALSE),VLOOKUP($F36,GDHI!$C$3:$U$336,GDHI!F$578,FALSE))</f>
        <v>15912</v>
      </c>
      <c r="J36" s="84">
        <f>IFERROR(VLOOKUP($F36,GDHI!$B$338:$U$574,GDHI!H$578,FALSE),VLOOKUP($F36,GDHI!$C$3:$U$336,GDHI!G$578,FALSE))</f>
        <v>16467</v>
      </c>
      <c r="K36" s="84">
        <f>IFERROR(VLOOKUP($F36,GDHI!$B$338:$U$574,GDHI!I$578,FALSE),VLOOKUP($F36,GDHI!$C$3:$U$336,GDHI!H$578,FALSE))</f>
        <v>17002</v>
      </c>
      <c r="L36" s="84">
        <f>IFERROR(VLOOKUP($F36,GDHI!$B$338:$U$574,GDHI!J$578,FALSE),VLOOKUP($F36,GDHI!$C$3:$U$336,GDHI!I$578,FALSE))</f>
        <v>17663</v>
      </c>
      <c r="M36" s="84">
        <f>IFERROR(VLOOKUP($F36,GDHI!$B$338:$U$574,GDHI!K$578,FALSE),VLOOKUP($F36,GDHI!$C$3:$U$336,GDHI!J$578,FALSE))</f>
        <v>18263</v>
      </c>
      <c r="N36" s="84">
        <f>IFERROR(VLOOKUP($F36,GDHI!$B$338:$U$574,GDHI!L$578,FALSE),VLOOKUP($F36,GDHI!$C$3:$U$336,GDHI!K$578,FALSE))</f>
        <v>17851</v>
      </c>
      <c r="O36" s="84">
        <f>IFERROR(VLOOKUP($F36,GDHI!$B$338:$U$574,GDHI!M$578,FALSE),VLOOKUP($F36,GDHI!$C$3:$U$336,GDHI!L$578,FALSE))</f>
        <v>18137</v>
      </c>
      <c r="P36" s="84">
        <f>IFERROR(VLOOKUP($F36,GDHI!$B$338:$U$574,GDHI!N$578,FALSE),VLOOKUP($F36,GDHI!$C$3:$U$336,GDHI!M$578,FALSE))</f>
        <v>18147</v>
      </c>
      <c r="Q36" s="84">
        <f>IFERROR(VLOOKUP($F36,GDHI!$B$338:$U$574,GDHI!O$578,FALSE),VLOOKUP($F36,GDHI!$C$3:$U$336,GDHI!N$578,FALSE))</f>
        <v>18626</v>
      </c>
      <c r="R36" s="84">
        <f>IFERROR(VLOOKUP($F36,GDHI!$B$338:$U$574,GDHI!P$578,FALSE),VLOOKUP($F36,GDHI!$C$3:$U$336,GDHI!O$578,FALSE))</f>
        <v>19215</v>
      </c>
      <c r="S36" s="84">
        <f>IFERROR(VLOOKUP($F36,GDHI!$B$338:$U$574,GDHI!Q$578,FALSE),VLOOKUP($F36,GDHI!$C$3:$U$336,GDHI!P$578,FALSE))</f>
        <v>19920</v>
      </c>
      <c r="T36" s="84">
        <f>IFERROR(VLOOKUP($F36,GDHI!$B$338:$U$574,GDHI!R$578,FALSE),VLOOKUP($F36,GDHI!$C$3:$U$336,GDHI!Q$578,FALSE))</f>
        <v>21089</v>
      </c>
      <c r="U36" s="84">
        <f>IFERROR(VLOOKUP($F36,GDHI!$B$338:$U$574,GDHI!S$578,FALSE),VLOOKUP($F36,GDHI!$C$3:$U$336,GDHI!R$578,FALSE))</f>
        <v>21159</v>
      </c>
      <c r="V36" s="84">
        <f>IFERROR(VLOOKUP($F36,GDHI!$B$338:$U$574,GDHI!T$578,FALSE),VLOOKUP($F36,GDHI!$C$3:$U$336,GDHI!S$578,FALSE))</f>
        <v>21444</v>
      </c>
      <c r="W36" s="84">
        <f>IFERROR(VLOOKUP($F36,GDHI!$B$338:$U$574,GDHI!U$578,FALSE),VLOOKUP($F36,GDHI!$C$3:$U$336,GDHI!T$578,FALSE))</f>
        <v>22236</v>
      </c>
      <c r="X36" s="84">
        <f>IFERROR(VLOOKUP($F36,GDHI!$B$338:$U$574,GDHI!V$578,FALSE),VLOOKUP($F36,GDHI!$C$3:$U$336,GDHI!U$578,FALSE))</f>
        <v>22974</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Lichfield to Rural as a Region</v>
      </c>
      <c r="G39" s="122"/>
      <c r="H39" s="123"/>
      <c r="I39" s="74">
        <f>100*((I36-I37)/I37)</f>
        <v>8.17498895271763</v>
      </c>
      <c r="J39" s="74">
        <f t="shared" ref="J39:X39" si="6">100*((J36-J37)/J37)</f>
        <v>7.3367264668292558</v>
      </c>
      <c r="K39" s="74">
        <f t="shared" si="6"/>
        <v>6.7684585659273795</v>
      </c>
      <c r="L39" s="74">
        <f t="shared" si="6"/>
        <v>6.6079769954883325</v>
      </c>
      <c r="M39" s="74">
        <f t="shared" si="6"/>
        <v>7.0304460334481593</v>
      </c>
      <c r="N39" s="74">
        <f t="shared" si="6"/>
        <v>3.2272365853070792</v>
      </c>
      <c r="O39" s="74">
        <f t="shared" si="6"/>
        <v>3.5931364382779147</v>
      </c>
      <c r="P39" s="74">
        <f t="shared" si="6"/>
        <v>1.9491654650469141</v>
      </c>
      <c r="Q39" s="74">
        <f t="shared" si="6"/>
        <v>1.4136872931485838</v>
      </c>
      <c r="R39" s="74">
        <f t="shared" si="6"/>
        <v>1.8070393103113278</v>
      </c>
      <c r="S39" s="74">
        <f t="shared" si="6"/>
        <v>2.7013988499122639</v>
      </c>
      <c r="T39" s="74">
        <f t="shared" si="6"/>
        <v>3.0825684229637287</v>
      </c>
      <c r="U39" s="74">
        <f t="shared" si="6"/>
        <v>2.5895646271382424</v>
      </c>
      <c r="V39" s="74">
        <f t="shared" si="6"/>
        <v>2.2823790344789985</v>
      </c>
      <c r="W39" s="74">
        <f t="shared" si="6"/>
        <v>1.8044189897302938</v>
      </c>
      <c r="X39" s="74">
        <f t="shared" si="6"/>
        <v>3.1837632086472953</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Lichfield</v>
      </c>
      <c r="G44" s="88"/>
      <c r="H44" s="89"/>
      <c r="I44" s="76">
        <f>VLOOKUP($F44,'LOW PAID'!$A$9:$N$444,6,FALSE)</f>
        <v>33.200000000000003</v>
      </c>
      <c r="J44" s="77">
        <f>VLOOKUP($F44,'LOW PAID'!$P$9:$W$444,6,FALSE)</f>
        <v>32.9</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Lichfield to Rural as a Region</v>
      </c>
      <c r="G47" s="122"/>
      <c r="H47" s="123"/>
      <c r="I47" s="74">
        <f>(I44-I45)</f>
        <v>8.006125321786886</v>
      </c>
      <c r="J47" s="74">
        <f>(J44-J45)</f>
        <v>7.2138834909699447</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Lichfield</v>
      </c>
      <c r="G52" s="88"/>
      <c r="H52" s="89"/>
      <c r="I52" s="76">
        <f>VLOOKUP($F52,INACTIVITY!$A$6:$BW$345,6,FALSE)</f>
        <v>20.399999999999999</v>
      </c>
      <c r="J52" s="77">
        <f>VLOOKUP($F52,INACTIVITY!$A$6:$BW$345,10,FALSE)</f>
        <v>19.100000000000001</v>
      </c>
      <c r="K52" s="77">
        <f>VLOOKUP($F52,INACTIVITY!$A$6:$BW$345,14,FALSE)</f>
        <v>18.2</v>
      </c>
      <c r="L52" s="77">
        <f>VLOOKUP($F52,INACTIVITY!$A$6:$BW$345,18,FALSE)</f>
        <v>22.1</v>
      </c>
      <c r="M52" s="77">
        <f>VLOOKUP($F52,INACTIVITY!$A$6:$BW$345,22,FALSE)</f>
        <v>16.2</v>
      </c>
      <c r="N52" s="77">
        <f>VLOOKUP($F52,INACTIVITY!$A$6:$BW$345,26,FALSE)</f>
        <v>14.1</v>
      </c>
      <c r="O52" s="77">
        <f>VLOOKUP($F52,INACTIVITY!$A$6:$BW$345,30,FALSE)</f>
        <v>21.5</v>
      </c>
      <c r="P52" s="77">
        <f>VLOOKUP($F52,INACTIVITY!$A$6:$BW$345,34,FALSE)</f>
        <v>21.8</v>
      </c>
      <c r="Q52" s="77">
        <f>VLOOKUP($F52,INACTIVITY!$A$6:$BW$345,38,FALSE)</f>
        <v>17.8</v>
      </c>
      <c r="R52" s="77">
        <f>VLOOKUP($F52,INACTIVITY!$A$6:$BW$345,42,FALSE)</f>
        <v>21.1</v>
      </c>
      <c r="S52" s="77">
        <f>VLOOKUP($F52,INACTIVITY!$A$6:$BW$345,46,FALSE)</f>
        <v>16.2</v>
      </c>
      <c r="T52" s="77">
        <f>VLOOKUP($F52,INACTIVITY!$A$6:$BW$345,50,FALSE)</f>
        <v>16.7</v>
      </c>
      <c r="U52" s="77">
        <f>VLOOKUP($F52,INACTIVITY!$A$6:$BW$345,54,FALSE)</f>
        <v>21.8</v>
      </c>
      <c r="V52" s="77">
        <f>VLOOKUP($F52,INACTIVITY!$A$6:$BW$345,58,FALSE)</f>
        <v>19.899999999999999</v>
      </c>
      <c r="W52" s="77">
        <f>VLOOKUP($F52,INACTIVITY!$A$6:$BW$345,62,FALSE)</f>
        <v>20.2</v>
      </c>
      <c r="X52" s="77">
        <f>VLOOKUP($F52,INACTIVITY!$A$6:$BW$345,66,FALSE)</f>
        <v>20.8</v>
      </c>
      <c r="Y52" s="77">
        <f>VLOOKUP($F52,INACTIVITY!$A$6:$BW$345,70,FALSE)</f>
        <v>16.899999999999999</v>
      </c>
      <c r="Z52" s="77">
        <f>VLOOKUP($F52,INACTIVITY!$A$6:$BW$345,74,FALSE)</f>
        <v>29.2</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Lichfield to Rural as a Region</v>
      </c>
      <c r="G55" s="122"/>
      <c r="H55" s="123"/>
      <c r="I55" s="74">
        <f>(I52-I53)</f>
        <v>-0.99564457161023867</v>
      </c>
      <c r="J55" s="74">
        <f t="shared" ref="J55:Z55" si="10">(J52-J53)</f>
        <v>-1.9085227272727252</v>
      </c>
      <c r="K55" s="74">
        <f t="shared" si="10"/>
        <v>-2.6624653934587776</v>
      </c>
      <c r="L55" s="74">
        <f t="shared" si="10"/>
        <v>0.78593466846336213</v>
      </c>
      <c r="M55" s="74">
        <f t="shared" si="10"/>
        <v>-4.6350023108920055</v>
      </c>
      <c r="N55" s="74">
        <f t="shared" si="10"/>
        <v>-6.8331437579204408</v>
      </c>
      <c r="O55" s="74">
        <f t="shared" si="10"/>
        <v>-0.19193712750517378</v>
      </c>
      <c r="P55" s="74">
        <f t="shared" si="10"/>
        <v>0.30575421924655188</v>
      </c>
      <c r="Q55" s="74">
        <f t="shared" si="10"/>
        <v>-3.3825487944890931</v>
      </c>
      <c r="R55" s="74">
        <f t="shared" si="10"/>
        <v>0.32540690256123028</v>
      </c>
      <c r="S55" s="74">
        <f t="shared" si="10"/>
        <v>-4.0732104559724007</v>
      </c>
      <c r="T55" s="74">
        <f t="shared" si="10"/>
        <v>-2.9961946834069586</v>
      </c>
      <c r="U55" s="74">
        <f t="shared" si="10"/>
        <v>1.9475706529305299</v>
      </c>
      <c r="V55" s="74">
        <f t="shared" si="10"/>
        <v>0.64672266571962211</v>
      </c>
      <c r="W55" s="74">
        <f t="shared" si="10"/>
        <v>1.0230439908171505</v>
      </c>
      <c r="X55" s="74">
        <f t="shared" si="10"/>
        <v>1.9479350506350706</v>
      </c>
      <c r="Y55" s="74">
        <f t="shared" si="10"/>
        <v>-2.8725827218714635</v>
      </c>
      <c r="Z55" s="74">
        <f t="shared" si="10"/>
        <v>8.1148202243699288</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Lichfield</v>
      </c>
      <c r="G60" s="88"/>
      <c r="H60" s="89"/>
      <c r="I60" s="76">
        <f>VLOOKUP($F60,DISABILITY!$A$718:$I$1052,DISABILITY!B$1053,FALSE)</f>
        <v>29.4</v>
      </c>
      <c r="J60" s="77">
        <f>VLOOKUP($F60,DISABILITY!$A$718:$I$1052,DISABILITY!C$1053,FALSE)</f>
        <v>0.69999999999998863</v>
      </c>
      <c r="K60" s="77">
        <f>VLOOKUP($F60,DISABILITY!$A$718:$I$1052,DISABILITY!D$1053,FALSE)</f>
        <v>20.9</v>
      </c>
      <c r="L60" s="77">
        <f>VLOOKUP($F60,DISABILITY!$A$718:$I$1052,DISABILITY!E$1053,FALSE)</f>
        <v>25.1</v>
      </c>
      <c r="M60" s="77">
        <f>VLOOKUP($F60,DISABILITY!$A$718:$I$1052,DISABILITY!F$1053,FALSE)</f>
        <v>14.299999999999997</v>
      </c>
      <c r="N60" s="77">
        <f>VLOOKUP($F60,DISABILITY!$A$718:$I$1052,DISABILITY!G$1053,FALSE)</f>
        <v>27.999999999999993</v>
      </c>
      <c r="O60" s="77">
        <f>VLOOKUP($F60,DISABILITY!$A$718:$I$1052,DISABILITY!H$1053,FALSE)</f>
        <v>40.799999999999997</v>
      </c>
      <c r="P60" s="77">
        <f>VLOOKUP($F60,DISABILITY!$A$718:$I$1052,DISABILITY!I$1053,FALSE)</f>
        <v>29.4</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Lichfield to Rural as a Region</v>
      </c>
      <c r="G63" s="122"/>
      <c r="H63" s="123"/>
      <c r="I63" s="74">
        <f>(I60-I61)</f>
        <v>1.9798434593527503</v>
      </c>
      <c r="J63" s="74">
        <f t="shared" ref="J63:P63" si="12">(J60-J61)</f>
        <v>-26.619044407051199</v>
      </c>
      <c r="K63" s="74">
        <f t="shared" si="12"/>
        <v>-7.2191283614982069</v>
      </c>
      <c r="L63" s="74">
        <f t="shared" si="12"/>
        <v>-0.89093453899667452</v>
      </c>
      <c r="M63" s="74">
        <f t="shared" si="12"/>
        <v>-11.175225818666121</v>
      </c>
      <c r="N63" s="74">
        <f t="shared" si="12"/>
        <v>2.4687523145580101</v>
      </c>
      <c r="O63" s="74">
        <f t="shared" si="12"/>
        <v>17.002777712003052</v>
      </c>
      <c r="P63" s="74">
        <f t="shared" si="12"/>
        <v>4.0458220696578238</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Lichfield</v>
      </c>
      <c r="G68" s="88"/>
      <c r="H68" s="89"/>
      <c r="I68" s="76">
        <f>VLOOKUP($F68,'WORKLESS HOUSEHOLDS'!$DW$4:$EC$397,7,FALSE)</f>
        <v>10.230073834377276</v>
      </c>
      <c r="J68" s="77">
        <f>VLOOKUP($F68,'WORKLESS HOUSEHOLDS'!$DN$4:$DT$397,7,FALSE)</f>
        <v>5.1790463282758274</v>
      </c>
      <c r="K68" s="77">
        <f>VLOOKUP($F68,'WORKLESS HOUSEHOLDS'!$DE$4:$DK$397,7,FALSE)</f>
        <v>12.48917188884025</v>
      </c>
      <c r="L68" s="77">
        <f>VLOOKUP($F68,'WORKLESS HOUSEHOLDS'!$CV$4:$DB$397,7,FALSE)</f>
        <v>8.7795808872830339</v>
      </c>
      <c r="M68" s="77">
        <f>VLOOKUP($F68,'WORKLESS HOUSEHOLDS'!$CM$4:$CS$397,7,FALSE)</f>
        <v>7.3716905996351363</v>
      </c>
      <c r="N68" s="77">
        <f>VLOOKUP($F68,'WORKLESS HOUSEHOLDS'!$CD$4:$CJ$397,7,FALSE)</f>
        <v>10.407744206512174</v>
      </c>
      <c r="O68" s="77">
        <f>VLOOKUP($F68,'WORKLESS HOUSEHOLDS'!$BU$4:$CA$397,7,FALSE)</f>
        <v>3.5969731522753188</v>
      </c>
      <c r="P68" s="77">
        <f>VLOOKUP($F68,'WORKLESS HOUSEHOLDS'!$BL$4:$BR$397,7,FALSE)</f>
        <v>10.069122046837924</v>
      </c>
      <c r="Q68" s="77" t="str">
        <f>VLOOKUP($F68,'WORKLESS HOUSEHOLDS'!$BC$4:$BI$397,7,FALSE)</f>
        <v>#</v>
      </c>
      <c r="R68" s="77">
        <f>VLOOKUP($F68,'WORKLESS HOUSEHOLDS'!$AT$4:$AZ$397,7,FALSE)</f>
        <v>8.2363890181479764</v>
      </c>
      <c r="S68" s="77">
        <f>VLOOKUP($F68,'WORKLESS HOUSEHOLDS'!$AK$4:$AQ$397,7,FALSE)</f>
        <v>6.0117942557606208</v>
      </c>
      <c r="T68" s="77" t="str">
        <f>VLOOKUP($F68,'WORKLESS HOUSEHOLDS'!$AB$4:$AH$397,7,FALSE)</f>
        <v>#</v>
      </c>
      <c r="U68" s="77" t="str">
        <f>VLOOKUP($F68,'WORKLESS HOUSEHOLDS'!$S$4:$Y$397,7,FALSE)</f>
        <v>#</v>
      </c>
      <c r="V68" s="77" t="str">
        <f>VLOOKUP($F68,'WORKLESS HOUSEHOLDS'!$J$4:$P$397,7,FALSE)</f>
        <v>#</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Lichfield to Rural as a Region</v>
      </c>
      <c r="G71" s="122"/>
      <c r="H71" s="123"/>
      <c r="I71" s="74">
        <f>(I68-I69)</f>
        <v>0.21812797179058485</v>
      </c>
      <c r="J71" s="74">
        <f t="shared" ref="J71:W71" si="14">(J68-J69)</f>
        <v>-5.7321085091991968</v>
      </c>
      <c r="K71" s="74">
        <f t="shared" si="14"/>
        <v>2.1959261596844062</v>
      </c>
      <c r="L71" s="74">
        <f t="shared" si="14"/>
        <v>-2.1864257740466986</v>
      </c>
      <c r="M71" s="74">
        <f t="shared" si="14"/>
        <v>-4.322088581553337</v>
      </c>
      <c r="N71" s="74">
        <f t="shared" si="14"/>
        <v>-1.4933554727432075</v>
      </c>
      <c r="O71" s="74">
        <f t="shared" si="14"/>
        <v>-7.438280095467193</v>
      </c>
      <c r="P71" s="74">
        <f t="shared" si="14"/>
        <v>0.37762416107008612</v>
      </c>
      <c r="Q71" s="74" t="e">
        <f t="shared" si="14"/>
        <v>#VALUE!</v>
      </c>
      <c r="R71" s="74">
        <f t="shared" si="14"/>
        <v>-2.4697073055815775</v>
      </c>
      <c r="S71" s="74">
        <f t="shared" si="14"/>
        <v>-4.1409505723882605</v>
      </c>
      <c r="T71" s="74" t="e">
        <f t="shared" si="14"/>
        <v>#VALUE!</v>
      </c>
      <c r="U71" s="74" t="e">
        <f t="shared" si="14"/>
        <v>#VALUE!</v>
      </c>
      <c r="V71" s="74" t="e">
        <f t="shared" si="14"/>
        <v>#VALUE!</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Lichfield</v>
      </c>
      <c r="G76" s="88"/>
      <c r="H76" s="89"/>
      <c r="I76" s="76">
        <f>VLOOKUP($F76,'SKILLED EMPLOYMENT'!$A$1506:$BW$1841,6,FALSE)</f>
        <v>55.599999999999994</v>
      </c>
      <c r="J76" s="77">
        <f>VLOOKUP($F76,'SKILLED EMPLOYMENT'!$A$1506:$BW$1841,10,FALSE)</f>
        <v>53</v>
      </c>
      <c r="K76" s="77">
        <f>VLOOKUP($F76,'SKILLED EMPLOYMENT'!$A$1506:$BW$1841,14,FALSE)</f>
        <v>54</v>
      </c>
      <c r="L76" s="77">
        <f>VLOOKUP($F76,'SKILLED EMPLOYMENT'!$A$1506:$BW$1841,18,FALSE)</f>
        <v>55</v>
      </c>
      <c r="M76" s="77">
        <f>VLOOKUP($F76,'SKILLED EMPLOYMENT'!$A$1506:$BW$1841,22,FALSE)</f>
        <v>58</v>
      </c>
      <c r="N76" s="77">
        <f>VLOOKUP($F76,'SKILLED EMPLOYMENT'!$A$1506:$BW$1841,26,FALSE)</f>
        <v>51.999999999999993</v>
      </c>
      <c r="O76" s="77">
        <f>VLOOKUP($F76,'SKILLED EMPLOYMENT'!$A$1506:$BW$1841,30,FALSE)</f>
        <v>61.7</v>
      </c>
      <c r="P76" s="77">
        <f>VLOOKUP($F76,'SKILLED EMPLOYMENT'!$A$1506:$BW$1841,34,FALSE)</f>
        <v>57.7</v>
      </c>
      <c r="Q76" s="77">
        <f>VLOOKUP($F76,'SKILLED EMPLOYMENT'!$A$1506:$BW$1841,38,FALSE)</f>
        <v>61.099999999999994</v>
      </c>
      <c r="R76" s="77">
        <f>VLOOKUP($F76,'SKILLED EMPLOYMENT'!$A$1506:$BW$1841,42,FALSE)</f>
        <v>60.6</v>
      </c>
      <c r="S76" s="77">
        <f>VLOOKUP($F76,'SKILLED EMPLOYMENT'!$A$1506:$BW$1841,46,FALSE)</f>
        <v>62.900000000000006</v>
      </c>
      <c r="T76" s="77">
        <f>VLOOKUP($F76,'SKILLED EMPLOYMENT'!$A$1506:$BW$1841,50,FALSE)</f>
        <v>55.4</v>
      </c>
      <c r="U76" s="77">
        <f>VLOOKUP($F76,'SKILLED EMPLOYMENT'!$A$1506:$BW$1841,54,FALSE)</f>
        <v>52.699999999999996</v>
      </c>
      <c r="V76" s="77">
        <f>VLOOKUP($F76,'SKILLED EMPLOYMENT'!$A$1506:$BW$1841,58,FALSE)</f>
        <v>57</v>
      </c>
      <c r="W76" s="77">
        <f>VLOOKUP($F76,'SKILLED EMPLOYMENT'!$A$1506:$BW$1841,62,FALSE)</f>
        <v>69.400000000000006</v>
      </c>
      <c r="X76" s="77">
        <f>VLOOKUP($F76,'SKILLED EMPLOYMENT'!$A$1506:$BW$1841,66,FALSE)</f>
        <v>77.099999999999994</v>
      </c>
      <c r="Y76" s="77">
        <f>VLOOKUP($F76,'SKILLED EMPLOYMENT'!$A$1506:$BW$1841,70,FALSE)</f>
        <v>63.7</v>
      </c>
      <c r="Z76" s="77">
        <f>VLOOKUP($F76,'SKILLED EMPLOYMENT'!$A$1506:$BW$1841,74,FALSE)</f>
        <v>69.8</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Lichfield to Rural as a Region</v>
      </c>
      <c r="G79" s="122"/>
      <c r="H79" s="123"/>
      <c r="I79" s="74">
        <f>(I76-I77)</f>
        <v>2.8999999999999915</v>
      </c>
      <c r="J79" s="74">
        <f t="shared" ref="J79:Z79" si="17">(J76-J77)</f>
        <v>0.10000000000000142</v>
      </c>
      <c r="K79" s="74">
        <f t="shared" si="17"/>
        <v>0.5</v>
      </c>
      <c r="L79" s="74">
        <f t="shared" si="17"/>
        <v>1</v>
      </c>
      <c r="M79" s="74">
        <f t="shared" si="17"/>
        <v>3.8999999999999986</v>
      </c>
      <c r="N79" s="74">
        <f t="shared" si="17"/>
        <v>-2.4000000000000057</v>
      </c>
      <c r="O79" s="74">
        <f t="shared" si="17"/>
        <v>6.3000000000000043</v>
      </c>
      <c r="P79" s="74">
        <f t="shared" si="17"/>
        <v>2.1000000000000014</v>
      </c>
      <c r="Q79" s="74">
        <f t="shared" si="17"/>
        <v>5.6999999999999957</v>
      </c>
      <c r="R79" s="74">
        <f t="shared" si="17"/>
        <v>4.3999999999999986</v>
      </c>
      <c r="S79" s="74">
        <f t="shared" si="17"/>
        <v>6.7000000000000028</v>
      </c>
      <c r="T79" s="74">
        <f t="shared" si="17"/>
        <v>-1.3999999999999986</v>
      </c>
      <c r="U79" s="74">
        <f t="shared" si="17"/>
        <v>-3.9000000000000057</v>
      </c>
      <c r="V79" s="74">
        <f t="shared" si="17"/>
        <v>-0.10000000000000142</v>
      </c>
      <c r="W79" s="74">
        <f t="shared" si="17"/>
        <v>11.600000000000009</v>
      </c>
      <c r="X79" s="74">
        <f t="shared" si="17"/>
        <v>18.299999999999997</v>
      </c>
      <c r="Y79" s="74">
        <f t="shared" si="17"/>
        <v>5</v>
      </c>
      <c r="Z79" s="74">
        <f t="shared" si="17"/>
        <v>11.399999999999999</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ix7yNIpCKTOUBqgdDEDEwg18aVKEWtzAAySrB2FE7FnVuSlGyAlGpw3XFTwLLrsadpLQma+esxdD5WsKLUHIQQ==" saltValue="/fHaCOO4aoJ8sGjpuKDlBg=="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2022-08-02T11:25:14Z</dcterms:modified>
</cp:coreProperties>
</file>