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F027C7D1-4A6B-4F4B-BD60-17D57EC65E5C}" xr6:coauthVersionLast="47" xr6:coauthVersionMax="47" xr10:uidLastSave="{57F9AE98-61EF-4A8F-88C1-6A95A16B752D}"/>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<sst xmlns="http://schemas.openxmlformats.org/spreadsheetml/2006/main" count="32859" uniqueCount="1676">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</sst>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Melton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21.99</c:v>
                </c:pt>
                <c:pt idx="1">
                  <c:v>22.1</c:v>
                </c:pt>
                <c:pt idx="2">
                  <c:v>22.89</c:v>
                </c:pt>
                <c:pt idx="3">
                  <c:v>23.69</c:v>
                </c:pt>
                <c:pt idx="4">
                  <c:v>24.27</c:v>
                </c:pt>
                <c:pt idx="5">
                  <c:v>24.59</c:v>
                </c:pt>
                <c:pt idx="6">
                  <c:v>24.73</c:v>
                </c:pt>
                <c:pt idx="7">
                  <c:v>24.71</c:v>
                </c:pt>
                <c:pt idx="8">
                  <c:v>24.87</c:v>
                </c:pt>
                <c:pt idx="9">
                  <c:v>25.23</c:v>
                </c:pt>
                <c:pt idx="10">
                  <c:v>26.24</c:v>
                </c:pt>
                <c:pt idx="11">
                  <c:v>27.56</c:v>
                </c:pt>
                <c:pt idx="12">
                  <c:v>28.93</c:v>
                </c:pt>
                <c:pt idx="13">
                  <c:v>30.77</c:v>
                </c:pt>
                <c:pt idx="14">
                  <c:v>32.29</c:v>
                </c:pt>
                <c:pt idx="15">
                  <c:v>33.47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Melton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388.9</c:v>
                </c:pt>
                <c:pt idx="1">
                  <c:v>385.5</c:v>
                </c:pt>
                <c:pt idx="2">
                  <c:v>407.9</c:v>
                </c:pt>
                <c:pt idx="3">
                  <c:v>431.9</c:v>
                </c:pt>
                <c:pt idx="4">
                  <c:v>421.9</c:v>
                </c:pt>
                <c:pt idx="5">
                  <c:v>429.8</c:v>
                </c:pt>
                <c:pt idx="6">
                  <c:v>401.4</c:v>
                </c:pt>
                <c:pt idx="7">
                  <c:v>458</c:v>
                </c:pt>
                <c:pt idx="8">
                  <c:v>461.6</c:v>
                </c:pt>
                <c:pt idx="9">
                  <c:v>432.9</c:v>
                </c:pt>
                <c:pt idx="10">
                  <c:v>481.3</c:v>
                </c:pt>
                <c:pt idx="11">
                  <c:v>488</c:v>
                </c:pt>
                <c:pt idx="12">
                  <c:v>460.5</c:v>
                </c:pt>
                <c:pt idx="13">
                  <c:v>454.9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Melton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81.400000000000006</c:v>
                </c:pt>
                <c:pt idx="1">
                  <c:v>78.7</c:v>
                </c:pt>
                <c:pt idx="2">
                  <c:v>82.6</c:v>
                </c:pt>
                <c:pt idx="3">
                  <c:v>80</c:v>
                </c:pt>
                <c:pt idx="4">
                  <c:v>78.3</c:v>
                </c:pt>
                <c:pt idx="5">
                  <c:v>78</c:v>
                </c:pt>
                <c:pt idx="6">
                  <c:v>72.2</c:v>
                </c:pt>
                <c:pt idx="7">
                  <c:v>79.7</c:v>
                </c:pt>
                <c:pt idx="8">
                  <c:v>79.099999999999994</c:v>
                </c:pt>
                <c:pt idx="9">
                  <c:v>79.599999999999994</c:v>
                </c:pt>
                <c:pt idx="10">
                  <c:v>77.7</c:v>
                </c:pt>
                <c:pt idx="11">
                  <c:v>78.400000000000006</c:v>
                </c:pt>
                <c:pt idx="12">
                  <c:v>78</c:v>
                </c:pt>
                <c:pt idx="13">
                  <c:v>80.599999999999994</c:v>
                </c:pt>
                <c:pt idx="14">
                  <c:v>83.3</c:v>
                </c:pt>
                <c:pt idx="15">
                  <c:v>83.6</c:v>
                </c:pt>
                <c:pt idx="16">
                  <c:v>79.599999999999994</c:v>
                </c:pt>
                <c:pt idx="17">
                  <c:v>70.099999999999994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Melton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14411</c:v>
                </c:pt>
                <c:pt idx="1">
                  <c:v>14903</c:v>
                </c:pt>
                <c:pt idx="2">
                  <c:v>15376</c:v>
                </c:pt>
                <c:pt idx="3">
                  <c:v>16167</c:v>
                </c:pt>
                <c:pt idx="4">
                  <c:v>16239</c:v>
                </c:pt>
                <c:pt idx="5">
                  <c:v>16507</c:v>
                </c:pt>
                <c:pt idx="6">
                  <c:v>16557</c:v>
                </c:pt>
                <c:pt idx="7">
                  <c:v>16965</c:v>
                </c:pt>
                <c:pt idx="8">
                  <c:v>17491</c:v>
                </c:pt>
                <c:pt idx="9">
                  <c:v>17788</c:v>
                </c:pt>
                <c:pt idx="10">
                  <c:v>18379</c:v>
                </c:pt>
                <c:pt idx="11">
                  <c:v>19381</c:v>
                </c:pt>
                <c:pt idx="12">
                  <c:v>19495</c:v>
                </c:pt>
                <c:pt idx="13">
                  <c:v>20180</c:v>
                </c:pt>
                <c:pt idx="14">
                  <c:v>21058</c:v>
                </c:pt>
                <c:pt idx="15">
                  <c:v>21473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Melton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37.9</c:v>
                </c:pt>
                <c:pt idx="1">
                  <c:v>39.4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Melton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15.6</c:v>
                </c:pt>
                <c:pt idx="1">
                  <c:v>18.8</c:v>
                </c:pt>
                <c:pt idx="2">
                  <c:v>17.399999999999999</c:v>
                </c:pt>
                <c:pt idx="3">
                  <c:v>18.399999999999999</c:v>
                </c:pt>
                <c:pt idx="4">
                  <c:v>16.8</c:v>
                </c:pt>
                <c:pt idx="5">
                  <c:v>19.8</c:v>
                </c:pt>
                <c:pt idx="6">
                  <c:v>25.9</c:v>
                </c:pt>
                <c:pt idx="7">
                  <c:v>19.5</c:v>
                </c:pt>
                <c:pt idx="8">
                  <c:v>13.8</c:v>
                </c:pt>
                <c:pt idx="9">
                  <c:v>16.399999999999999</c:v>
                </c:pt>
                <c:pt idx="10">
                  <c:v>18.100000000000001</c:v>
                </c:pt>
                <c:pt idx="11">
                  <c:v>17.399999999999999</c:v>
                </c:pt>
                <c:pt idx="12">
                  <c:v>17.899999999999999</c:v>
                </c:pt>
                <c:pt idx="13">
                  <c:v>16.899999999999999</c:v>
                </c:pt>
                <c:pt idx="14">
                  <c:v>11.9</c:v>
                </c:pt>
                <c:pt idx="15">
                  <c:v>14</c:v>
                </c:pt>
                <c:pt idx="16">
                  <c:v>17.2</c:v>
                </c:pt>
                <c:pt idx="17">
                  <c:v>26.7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Melton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27.1</c:v>
                </c:pt>
                <c:pt idx="1">
                  <c:v>8.5999999999999943</c:v>
                </c:pt>
                <c:pt idx="2">
                  <c:v>4</c:v>
                </c:pt>
                <c:pt idx="3">
                  <c:v>18.200000000000003</c:v>
                </c:pt>
                <c:pt idx="4">
                  <c:v>33.699999999999996</c:v>
                </c:pt>
                <c:pt idx="5">
                  <c:v>21.799999999999997</c:v>
                </c:pt>
                <c:pt idx="6">
                  <c:v>17.400000000000006</c:v>
                </c:pt>
                <c:pt idx="7">
                  <c:v>19.5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Melton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0</c:v>
                </c:pt>
                <c:pt idx="2">
                  <c:v>0</c:v>
                </c:pt>
                <c:pt idx="3">
                  <c:v>11.397401566993951</c:v>
                </c:pt>
                <c:pt idx="4">
                  <c:v>21.660082025137779</c:v>
                </c:pt>
                <c:pt idx="5">
                  <c:v>12.302914476827521</c:v>
                </c:pt>
                <c:pt idx="6">
                  <c:v>0</c:v>
                </c:pt>
                <c:pt idx="7">
                  <c:v>17.24300164667137</c:v>
                </c:pt>
                <c:pt idx="8">
                  <c:v>9.2651010632083182</c:v>
                </c:pt>
                <c:pt idx="9">
                  <c:v>13.272441843870414</c:v>
                </c:pt>
                <c:pt idx="10">
                  <c:v>21.016066000868435</c:v>
                </c:pt>
                <c:pt idx="11">
                  <c:v>12.392578125</c:v>
                </c:pt>
                <c:pt idx="12">
                  <c:v>12.20576567045755</c:v>
                </c:pt>
                <c:pt idx="13">
                  <c:v>15.175154548130704</c:v>
                </c:pt>
                <c:pt idx="14">
                  <c:v>41.633493479752914</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Melton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48.7</c:v>
                </c:pt>
                <c:pt idx="1">
                  <c:v>51.1</c:v>
                </c:pt>
                <c:pt idx="2">
                  <c:v>50.5</c:v>
                </c:pt>
                <c:pt idx="3">
                  <c:v>55.8</c:v>
                </c:pt>
                <c:pt idx="4">
                  <c:v>56.6</c:v>
                </c:pt>
                <c:pt idx="5">
                  <c:v>60.500000000000007</c:v>
                </c:pt>
                <c:pt idx="6">
                  <c:v>67.900000000000006</c:v>
                </c:pt>
                <c:pt idx="7">
                  <c:v>58.7</c:v>
                </c:pt>
                <c:pt idx="8">
                  <c:v>58.8</c:v>
                </c:pt>
                <c:pt idx="9">
                  <c:v>66.099999999999994</c:v>
                </c:pt>
                <c:pt idx="10">
                  <c:v>55.899999999999991</c:v>
                </c:pt>
                <c:pt idx="11">
                  <c:v>48.7</c:v>
                </c:pt>
                <c:pt idx="12">
                  <c:v>43.599999999999994</c:v>
                </c:pt>
                <c:pt idx="13">
                  <c:v>47.7</c:v>
                </c:pt>
                <c:pt idx="14">
                  <c:v>44.8</c:v>
                </c:pt>
                <c:pt idx="15">
                  <c:v>41.599999999999994</c:v>
                </c:pt>
                <c:pt idx="16">
                  <c:v>49.2</c:v>
                </c:pt>
                <c:pt idx="17">
                  <c:v>55.7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Melton has consistenty been greater than the rural and England situations but a significant drop from 2020 to 2021 moved it below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Melton, a lower rate of increase frmo 2004 to 2019 has seen it move from being greater than the England situation to being lower.</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Melton in both 2017 and 2018 is significantly greater than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Melton's economic inactivity rate has fluctuated over the period 2004 to 2021 but is generally lower than the rate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Melton shows no discernible pattern of change.</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Melton shows the proportion being generally in line with or greater than the England and rural average positions, with a notable increase in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144780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515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Between 2004 and 2014 Melton in general had a proportion that was either in line with or greater than the rural and England situations , however it then dropped to being markedly below from 2015 to 2021.</a:t>
          </a:r>
          <a:endParaRPr lang="en-GB" sz="1100">
            <a:latin typeface="Avenir Next LT Pro" panose="020B0504020202020204" pitchFamily="34" charset="0"/>
          </a:endParaRPr>
        </a:p>
      </xdr:txBody>
    </xdr:sp>
    <xdr:clientData/>
  </xdr:twoCellAnchor>
  <xdr:twoCellAnchor>
    <xdr:from>
      <xdr:col>0</xdr:col>
      <xdr:colOff>563880</xdr:colOff>
      <xdr:row>12</xdr:row>
      <xdr:rowOff>525780</xdr:rowOff>
    </xdr:from>
    <xdr:to>
      <xdr:col>1</xdr:col>
      <xdr:colOff>2545080</xdr:colOff>
      <xdr:row>14</xdr:row>
      <xdr:rowOff>388620</xdr:rowOff>
    </xdr:to>
    <xdr:sp macro="" textlink="">
      <xdr:nvSpPr>
        <xdr:cNvPr id="20" name="TextBox 19">
          <a:extLst>
            <a:ext uri="{FF2B5EF4-FFF2-40B4-BE49-F238E27FC236}">
              <a16:creationId xmlns:a16="http://schemas.microsoft.com/office/drawing/2014/main" id="{9F1800EC-1352-419F-84F9-C6F5D2BC752C}"/>
            </a:ext>
          </a:extLst>
        </xdr:cNvPr>
        <xdr:cNvSpPr txBox="1"/>
      </xdr:nvSpPr>
      <xdr:spPr>
        <a:xfrm>
          <a:off x="563880" y="3512820"/>
          <a:ext cx="6682740" cy="11582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Melton was below the rural situation in 2004 and roughly had the same rate of increase to 2013, however its rate of increase then became greater than 'Rural as a Region' moving its GVA per hour worked beyond rural in 2019 but not reaching the level of England overall.</a:t>
          </a:r>
          <a:endParaRPr lang="en-GB" sz="1100">
            <a:latin typeface="Avenir Next LT Pro" panose="020B0504020202020204" pitchFamily="34" charset="0"/>
          </a:endParaRPr>
        </a:p>
      </xdr:txBody>
    </xdr:sp>
    <xdr:clientData/>
  </xdr:twoCellAnchor>
  <xdr:twoCellAnchor>
    <xdr:from>
      <xdr:col>0</xdr:col>
      <xdr:colOff>609600</xdr:colOff>
      <xdr:row>20</xdr:row>
      <xdr:rowOff>601980</xdr:rowOff>
    </xdr:from>
    <xdr:to>
      <xdr:col>1</xdr:col>
      <xdr:colOff>2590800</xdr:colOff>
      <xdr:row>22</xdr:row>
      <xdr:rowOff>129540</xdr:rowOff>
    </xdr:to>
    <xdr:sp macro="" textlink="">
      <xdr:nvSpPr>
        <xdr:cNvPr id="21" name="TextBox 20">
          <a:extLst>
            <a:ext uri="{FF2B5EF4-FFF2-40B4-BE49-F238E27FC236}">
              <a16:creationId xmlns:a16="http://schemas.microsoft.com/office/drawing/2014/main" id="{27BE2B8D-5C9A-4A04-A29A-8EE199094F33}"/>
            </a:ext>
          </a:extLst>
        </xdr:cNvPr>
        <xdr:cNvSpPr txBox="1"/>
      </xdr:nvSpPr>
      <xdr:spPr>
        <a:xfrm>
          <a:off x="60960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Melton has fluctuated a little over the years, but has been consistently below the rural average situation and a lower rate of increase widened the gap by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307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Melton</v>
      </c>
      <c r="G12" s="88" t="str">
        <f>IFERROR(VLOOKUP(F12,GVA!B244:B552,1,FALSE),VLOOKUP(F12,GVA!B6:C230,2,FALSE))</f>
        <v>Melton</v>
      </c>
      <c r="H12" s="89" t="str">
        <f>IF(F12=G12,"",G12)</f>
        <v/>
      </c>
      <c r="I12" s="76">
        <f>IFERROR(VLOOKUP($F12,GVA!$B$7:$S$230,GVA!D$3,FALSE),VLOOKUP($F12,GVA!$B$244:$T$554,GVA!E$3,FALSE))</f>
        <v>21.99</v>
      </c>
      <c r="J12" s="77">
        <f>IFERROR(VLOOKUP($F12,GVA!$B$7:$S$230,GVA!E$3,FALSE),VLOOKUP($F12,GVA!$B$244:$T$554,GVA!F$3,FALSE))</f>
        <v>22.1</v>
      </c>
      <c r="K12" s="77">
        <f>IFERROR(VLOOKUP($F12,GVA!$B$7:$S$230,GVA!F$3,FALSE),VLOOKUP($F12,GVA!$B$244:$T$554,GVA!G$3,FALSE))</f>
        <v>22.89</v>
      </c>
      <c r="L12" s="77">
        <f>IFERROR(VLOOKUP($F12,GVA!$B$7:$S$230,GVA!G$3,FALSE),VLOOKUP($F12,GVA!$B$244:$T$554,GVA!H$3,FALSE))</f>
        <v>23.69</v>
      </c>
      <c r="M12" s="77">
        <f>IFERROR(VLOOKUP($F12,GVA!$B$7:$S$230,GVA!H$3,FALSE),VLOOKUP($F12,GVA!$B$244:$T$554,GVA!I$3,FALSE))</f>
        <v>24.27</v>
      </c>
      <c r="N12" s="77">
        <f>IFERROR(VLOOKUP($F12,GVA!$B$7:$S$230,GVA!I$3,FALSE),VLOOKUP($F12,GVA!$B$244:$T$554,GVA!J$3,FALSE))</f>
        <v>24.59</v>
      </c>
      <c r="O12" s="77">
        <f>IFERROR(VLOOKUP($F12,GVA!$B$7:$S$230,GVA!J$3,FALSE),VLOOKUP($F12,GVA!$B$244:$T$554,GVA!K$3,FALSE))</f>
        <v>24.73</v>
      </c>
      <c r="P12" s="77">
        <f>IFERROR(VLOOKUP($F12,GVA!$B$7:$S$230,GVA!K$3,FALSE),VLOOKUP($F12,GVA!$B$244:$T$554,GVA!L$3,FALSE))</f>
        <v>24.71</v>
      </c>
      <c r="Q12" s="77">
        <f>IFERROR(VLOOKUP($F12,GVA!$B$7:$S$230,GVA!L$3,FALSE),VLOOKUP($F12,GVA!$B$244:$T$554,GVA!M$3,FALSE))</f>
        <v>24.87</v>
      </c>
      <c r="R12" s="77">
        <f>IFERROR(VLOOKUP($F12,GVA!$B$7:$S$230,GVA!M$3,FALSE),VLOOKUP($F12,GVA!$B$244:$T$554,GVA!N$3,FALSE))</f>
        <v>25.23</v>
      </c>
      <c r="S12" s="77">
        <f>IFERROR(VLOOKUP($F12,GVA!$B$7:$S$230,GVA!N$3,FALSE),VLOOKUP($F12,GVA!$B$244:$T$554,GVA!O$3,FALSE))</f>
        <v>26.24</v>
      </c>
      <c r="T12" s="77">
        <f>IFERROR(VLOOKUP($F12,GVA!$B$7:$S$230,GVA!O$3,FALSE),VLOOKUP($F12,GVA!$B$244:$T$554,GVA!P$3,FALSE))</f>
        <v>27.56</v>
      </c>
      <c r="U12" s="77">
        <f>IFERROR(VLOOKUP($F12,GVA!$B$7:$S$230,GVA!P$3,FALSE),VLOOKUP($F12,GVA!$B$244:$T$554,GVA!Q$3,FALSE))</f>
        <v>28.93</v>
      </c>
      <c r="V12" s="77">
        <f>IFERROR(VLOOKUP($F12,GVA!$B$7:$S$230,GVA!Q$3,FALSE),VLOOKUP($F12,GVA!$B$244:$T$554,GVA!R$3,FALSE))</f>
        <v>30.77</v>
      </c>
      <c r="W12" s="77">
        <f>IFERROR(VLOOKUP($F12,GVA!$B$7:$S$230,GVA!R$3,FALSE),VLOOKUP($F12,GVA!$B$244:$T$554,GVA!S$3,FALSE))</f>
        <v>32.29</v>
      </c>
      <c r="X12" s="77">
        <f>IFERROR(VLOOKUP($F12,GVA!$B$7:$S$230,GVA!S$3,FALSE),VLOOKUP($F12,GVA!$B$244:$T$554,GVA!T$3,FALSE))</f>
        <v>33.47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Melton to Rural as a Region</v>
      </c>
      <c r="G15" s="122"/>
      <c r="H15" s="123"/>
      <c r="I15" s="74">
        <f>100*((I12-I13)/I13)</f>
        <v>-6.585009381147648</v>
      </c>
      <c r="J15" s="74">
        <f t="shared" ref="J15:X15" si="0">100*((J12-J13)/J13)</f>
        <v>-5.8563401424021704</v>
      </c>
      <c r="K15" s="74">
        <f t="shared" si="0"/>
        <v>-5.8176955518655644</v>
      </c>
      <c r="L15" s="74">
        <f t="shared" si="0"/>
        <v>-4.6241444757577668</v>
      </c>
      <c r="M15" s="74">
        <f t="shared" si="0"/>
        <v>-3.9368965663476483</v>
      </c>
      <c r="N15" s="74">
        <f t="shared" si="0"/>
        <v>-3.4654228844095734</v>
      </c>
      <c r="O15" s="74">
        <f t="shared" si="0"/>
        <v>-4.1105628309106645</v>
      </c>
      <c r="P15" s="74">
        <f t="shared" si="0"/>
        <v>-5.5956555554039316</v>
      </c>
      <c r="Q15" s="74">
        <f t="shared" si="0"/>
        <v>-6.8912956277577289</v>
      </c>
      <c r="R15" s="74">
        <f t="shared" si="0"/>
        <v>-7.1536530550554343</v>
      </c>
      <c r="S15" s="74">
        <f t="shared" si="0"/>
        <v>-5.0123466366727811</v>
      </c>
      <c r="T15" s="74">
        <f t="shared" si="0"/>
        <v>-2.089289641521872</v>
      </c>
      <c r="U15" s="74">
        <f t="shared" si="0"/>
        <v>0.32241950865085517</v>
      </c>
      <c r="V15" s="74">
        <f t="shared" si="0"/>
        <v>3.8795892530595122</v>
      </c>
      <c r="W15" s="74">
        <f t="shared" si="0"/>
        <v>6.7988612783450639</v>
      </c>
      <c r="X15" s="74">
        <f t="shared" si="0"/>
        <v>9.5534054732280751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Melton</v>
      </c>
      <c r="G20" s="88"/>
      <c r="H20" s="89"/>
      <c r="I20" s="80">
        <f>IF(VLOOKUP($F20,PAY!$A$11:$AE$349,4,FALSE)="-",#N/A,VLOOKUP($F20,PAY!$A$11:$AE$349,4,FALSE))</f>
        <v>388.9</v>
      </c>
      <c r="J20" s="80">
        <f>IF(VLOOKUP($F20,PAY!$A$11:$AE$349,6,FALSE)="-",#N/A,VLOOKUP($F20,PAY!$A$11:$AE$349,6,FALSE))</f>
        <v>385.5</v>
      </c>
      <c r="K20" s="80">
        <f>IF(VLOOKUP($F20,PAY!$A$11:$AE$349,8,FALSE)="-",#N/A,VLOOKUP($F20,PAY!$A$11:$AE$349,8,FALSE))</f>
        <v>407.9</v>
      </c>
      <c r="L20" s="80">
        <f>IF(VLOOKUP($F20,PAY!$A$11:$AE$349,10,FALSE)="-",#N/A,VLOOKUP($F20,PAY!$A$11:$AE$349,10,FALSE))</f>
        <v>431.9</v>
      </c>
      <c r="M20" s="80">
        <f>IF(VLOOKUP($F20,PAY!$A$11:$AE$349,12,FALSE)="-",#N/A,VLOOKUP($F20,PAY!$A$11:$AE$349,12,FALSE))</f>
        <v>421.9</v>
      </c>
      <c r="N20" s="80">
        <f>IF(VLOOKUP($F20,PAY!$A$11:$AE$349,14,FALSE)="-",#N/A,VLOOKUP($F20,PAY!$A$11:$AE$349,14,FALSE))</f>
        <v>429.8</v>
      </c>
      <c r="O20" s="80">
        <f>IF(VLOOKUP($F20,PAY!$A$11:$AE$349,16,FALSE)="-",#N/A,VLOOKUP($F20,PAY!$A$11:$AE$349,16,FALSE))</f>
        <v>401.4</v>
      </c>
      <c r="P20" s="80">
        <f>IF(VLOOKUP($F20,PAY!$A$11:$AE$349,18,FALSE)="-",#N/A,VLOOKUP($F20,PAY!$A$11:$AE$349,18,FALSE))</f>
        <v>458</v>
      </c>
      <c r="Q20" s="80">
        <f>IF(VLOOKUP($F20,PAY!$A$11:$AE$349,20,FALSE)="-",#N/A,VLOOKUP($F20,PAY!$A$11:$AE$349,20,FALSE))</f>
        <v>461.6</v>
      </c>
      <c r="R20" s="80">
        <f>IF(VLOOKUP($F20,PAY!$A$11:$AE$349,22,FALSE)="-",#N/A,VLOOKUP($F20,PAY!$A$11:$AE$349,22,FALSE))</f>
        <v>432.9</v>
      </c>
      <c r="S20" s="80">
        <f>IF(VLOOKUP($F20,PAY!$A$11:$AE$349,24,FALSE)="-",#N/A,VLOOKUP($F20,PAY!$A$11:$AE$349,24,FALSE))</f>
        <v>481.3</v>
      </c>
      <c r="T20" s="80">
        <f>IF(VLOOKUP($F20,PAY!$A$11:$AE$349,26,FALSE)="-",#N/A,VLOOKUP($F20,PAY!$A$11:$AE$349,26,FALSE))</f>
        <v>488</v>
      </c>
      <c r="U20" s="80">
        <f>IF(VLOOKUP($F20,PAY!$A$11:$AE$349,28,FALSE)="-",#N/A,VLOOKUP($F20,PAY!$A$11:$AE$349,28,FALSE))</f>
        <v>460.5</v>
      </c>
      <c r="V20" s="80">
        <f>IF(VLOOKUP($F20,PAY!$A$11:$AE$349,30,FALSE)="-",#N/A,VLOOKUP($F20,PAY!$A$11:$AE$349,30,FALSE))</f>
        <v>454.9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Melton to Rural as a Region</v>
      </c>
      <c r="G23" s="122"/>
      <c r="H23" s="123"/>
      <c r="I23" s="74">
        <f>100*((I20-I21)/I21)</f>
        <v>-10.183182094578795</v>
      </c>
      <c r="J23" s="74">
        <f t="shared" ref="J23:V23" si="2">100*((J20-J21)/J21)</f>
        <v>-11.769754534531101</v>
      </c>
      <c r="K23" s="74">
        <f t="shared" si="2"/>
        <v>-8.9737831524057583</v>
      </c>
      <c r="L23" s="74">
        <f t="shared" si="2"/>
        <v>-4.1613298278728914</v>
      </c>
      <c r="M23" s="74">
        <f t="shared" si="2"/>
        <v>-7.3242279822712755</v>
      </c>
      <c r="N23" s="74">
        <f t="shared" si="2"/>
        <v>-7.2051291861844264</v>
      </c>
      <c r="O23" s="74">
        <f t="shared" si="2"/>
        <v>-14.741325073803422</v>
      </c>
      <c r="P23" s="74">
        <f t="shared" si="2"/>
        <v>-3.5427035874905726</v>
      </c>
      <c r="Q23" s="74">
        <f t="shared" si="2"/>
        <v>-5.6962794582754768</v>
      </c>
      <c r="R23" s="74">
        <f t="shared" si="2"/>
        <v>-14.116849361509754</v>
      </c>
      <c r="S23" s="74">
        <f t="shared" si="2"/>
        <v>-6.4393391634998913</v>
      </c>
      <c r="T23" s="74">
        <f t="shared" si="2"/>
        <v>-8.562659070681466</v>
      </c>
      <c r="U23" s="74">
        <f t="shared" si="2"/>
        <v>-13.284706309413039</v>
      </c>
      <c r="V23" s="74">
        <f t="shared" si="2"/>
        <v>-19.380310079836725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Melton</v>
      </c>
      <c r="G28" s="88"/>
      <c r="H28" s="89"/>
      <c r="I28" s="76">
        <f>VLOOKUP($F28,EMPLOYMENT!$A$6:$BW$345,6,FALSE)</f>
        <v>81.400000000000006</v>
      </c>
      <c r="J28" s="77">
        <f>VLOOKUP($F28,EMPLOYMENT!$A$6:$BW$345,10,FALSE)</f>
        <v>78.7</v>
      </c>
      <c r="K28" s="77">
        <f>VLOOKUP($F28,EMPLOYMENT!$A$6:$BW$345,14,FALSE)</f>
        <v>82.6</v>
      </c>
      <c r="L28" s="77">
        <f>VLOOKUP($F28,EMPLOYMENT!$A$6:$BW$345,18,FALSE)</f>
        <v>80</v>
      </c>
      <c r="M28" s="77">
        <f>VLOOKUP($F28,EMPLOYMENT!$A$6:$BW$345,22,FALSE)</f>
        <v>78.3</v>
      </c>
      <c r="N28" s="77">
        <f>VLOOKUP($F28,EMPLOYMENT!$A$6:$BW$345,26,FALSE)</f>
        <v>78</v>
      </c>
      <c r="O28" s="77">
        <f>VLOOKUP($F28,EMPLOYMENT!$A$6:$BW$345,30,FALSE)</f>
        <v>72.2</v>
      </c>
      <c r="P28" s="77">
        <f>VLOOKUP($F28,EMPLOYMENT!$A$6:$BW$345,34,FALSE)</f>
        <v>79.7</v>
      </c>
      <c r="Q28" s="77">
        <f>VLOOKUP($F28,EMPLOYMENT!$A$6:$BW$345,38,FALSE)</f>
        <v>79.099999999999994</v>
      </c>
      <c r="R28" s="77">
        <f>VLOOKUP($F28,EMPLOYMENT!$A$6:$BW$345,42,FALSE)</f>
        <v>79.599999999999994</v>
      </c>
      <c r="S28" s="77">
        <f>VLOOKUP($F28,EMPLOYMENT!$A$6:$BW$345,46,FALSE)</f>
        <v>77.7</v>
      </c>
      <c r="T28" s="77">
        <f>VLOOKUP($F28,EMPLOYMENT!$A$6:$BW$345,50,FALSE)</f>
        <v>78.400000000000006</v>
      </c>
      <c r="U28" s="77">
        <f>VLOOKUP($F28,EMPLOYMENT!$A$6:$BW$345,54,FALSE)</f>
        <v>78</v>
      </c>
      <c r="V28" s="77">
        <f>VLOOKUP($F28,EMPLOYMENT!$A$6:$BW$345,58,FALSE)</f>
        <v>80.599999999999994</v>
      </c>
      <c r="W28" s="77">
        <f>VLOOKUP($F28,EMPLOYMENT!$A$6:$BW$345,62,FALSE)</f>
        <v>83.3</v>
      </c>
      <c r="X28" s="77">
        <f>VLOOKUP($F28,EMPLOYMENT!$A$6:$BW$345,66,FALSE)</f>
        <v>83.6</v>
      </c>
      <c r="Y28" s="77">
        <f>VLOOKUP($F28,EMPLOYMENT!$A$6:$BW$345,70,FALSE)</f>
        <v>79.599999999999994</v>
      </c>
      <c r="Z28" s="77">
        <f>VLOOKUP($F28,EMPLOYMENT!$A$6:$BW$345,74,FALSE)</f>
        <v>70.099999999999994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Melton to Rural as a Region</v>
      </c>
      <c r="G31" s="122"/>
      <c r="H31" s="123"/>
      <c r="I31" s="74">
        <f>(I28-I29)</f>
        <v>5.2886580805982675</v>
      </c>
      <c r="J31" s="74">
        <f t="shared" ref="J31:Z31" si="4">(J28-J29)</f>
        <v>2.3870245333170459</v>
      </c>
      <c r="K31" s="74">
        <f t="shared" si="4"/>
        <v>6.7268111005132312</v>
      </c>
      <c r="L31" s="74">
        <f t="shared" si="4"/>
        <v>4.3595316973721623</v>
      </c>
      <c r="M31" s="74">
        <f t="shared" si="4"/>
        <v>2.5644756266682549</v>
      </c>
      <c r="N31" s="74">
        <f t="shared" si="4"/>
        <v>3.4904601571268188</v>
      </c>
      <c r="O31" s="74">
        <f t="shared" si="4"/>
        <v>-1.3471331389698662</v>
      </c>
      <c r="P31" s="74">
        <f t="shared" si="4"/>
        <v>5.9657045967223894</v>
      </c>
      <c r="Q31" s="74">
        <f t="shared" si="4"/>
        <v>5.0668425245374209</v>
      </c>
      <c r="R31" s="74">
        <f t="shared" si="4"/>
        <v>4.8555250700997874</v>
      </c>
      <c r="S31" s="74">
        <f t="shared" si="4"/>
        <v>1.5911396599243943</v>
      </c>
      <c r="T31" s="74">
        <f t="shared" si="4"/>
        <v>1.2094680243909863</v>
      </c>
      <c r="U31" s="74">
        <f t="shared" si="4"/>
        <v>1.028367518291958</v>
      </c>
      <c r="V31" s="74">
        <f t="shared" si="4"/>
        <v>2.5672131147540966</v>
      </c>
      <c r="W31" s="74">
        <f t="shared" si="4"/>
        <v>5.2518431065858522</v>
      </c>
      <c r="X31" s="74">
        <f t="shared" si="4"/>
        <v>5.0087006210432889</v>
      </c>
      <c r="Y31" s="74">
        <f t="shared" si="4"/>
        <v>2.5856537038707899</v>
      </c>
      <c r="Z31" s="74">
        <f t="shared" si="4"/>
        <v>-6.0557580778790481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Melton</v>
      </c>
      <c r="G36" s="88" t="str">
        <f>IFERROR(VLOOKUP(F36,GDHI!B338:C574,2,FALSE),VLOOKUP(F36,GDHI!C3:C336,1,FALSE))</f>
        <v>Melton</v>
      </c>
      <c r="H36" s="89" t="str">
        <f>IF(F36=G36,"",G36)</f>
        <v/>
      </c>
      <c r="I36" s="83">
        <f>IFERROR(VLOOKUP($F36,GDHI!$B$338:$U$574,GDHI!G$578,FALSE),VLOOKUP($F36,GDHI!$C$3:$U$336,GDHI!F$578,FALSE))</f>
        <v>14411</v>
      </c>
      <c r="J36" s="84">
        <f>IFERROR(VLOOKUP($F36,GDHI!$B$338:$U$574,GDHI!H$578,FALSE),VLOOKUP($F36,GDHI!$C$3:$U$336,GDHI!G$578,FALSE))</f>
        <v>14903</v>
      </c>
      <c r="K36" s="84">
        <f>IFERROR(VLOOKUP($F36,GDHI!$B$338:$U$574,GDHI!I$578,FALSE),VLOOKUP($F36,GDHI!$C$3:$U$336,GDHI!H$578,FALSE))</f>
        <v>15376</v>
      </c>
      <c r="L36" s="84">
        <f>IFERROR(VLOOKUP($F36,GDHI!$B$338:$U$574,GDHI!J$578,FALSE),VLOOKUP($F36,GDHI!$C$3:$U$336,GDHI!I$578,FALSE))</f>
        <v>16167</v>
      </c>
      <c r="M36" s="84">
        <f>IFERROR(VLOOKUP($F36,GDHI!$B$338:$U$574,GDHI!K$578,FALSE),VLOOKUP($F36,GDHI!$C$3:$U$336,GDHI!J$578,FALSE))</f>
        <v>16239</v>
      </c>
      <c r="N36" s="84">
        <f>IFERROR(VLOOKUP($F36,GDHI!$B$338:$U$574,GDHI!L$578,FALSE),VLOOKUP($F36,GDHI!$C$3:$U$336,GDHI!K$578,FALSE))</f>
        <v>16507</v>
      </c>
      <c r="O36" s="84">
        <f>IFERROR(VLOOKUP($F36,GDHI!$B$338:$U$574,GDHI!M$578,FALSE),VLOOKUP($F36,GDHI!$C$3:$U$336,GDHI!L$578,FALSE))</f>
        <v>16557</v>
      </c>
      <c r="P36" s="84">
        <f>IFERROR(VLOOKUP($F36,GDHI!$B$338:$U$574,GDHI!N$578,FALSE),VLOOKUP($F36,GDHI!$C$3:$U$336,GDHI!M$578,FALSE))</f>
        <v>16965</v>
      </c>
      <c r="Q36" s="84">
        <f>IFERROR(VLOOKUP($F36,GDHI!$B$338:$U$574,GDHI!O$578,FALSE),VLOOKUP($F36,GDHI!$C$3:$U$336,GDHI!N$578,FALSE))</f>
        <v>17491</v>
      </c>
      <c r="R36" s="84">
        <f>IFERROR(VLOOKUP($F36,GDHI!$B$338:$U$574,GDHI!P$578,FALSE),VLOOKUP($F36,GDHI!$C$3:$U$336,GDHI!O$578,FALSE))</f>
        <v>17788</v>
      </c>
      <c r="S36" s="84">
        <f>IFERROR(VLOOKUP($F36,GDHI!$B$338:$U$574,GDHI!Q$578,FALSE),VLOOKUP($F36,GDHI!$C$3:$U$336,GDHI!P$578,FALSE))</f>
        <v>18379</v>
      </c>
      <c r="T36" s="84">
        <f>IFERROR(VLOOKUP($F36,GDHI!$B$338:$U$574,GDHI!R$578,FALSE),VLOOKUP($F36,GDHI!$C$3:$U$336,GDHI!Q$578,FALSE))</f>
        <v>19381</v>
      </c>
      <c r="U36" s="84">
        <f>IFERROR(VLOOKUP($F36,GDHI!$B$338:$U$574,GDHI!S$578,FALSE),VLOOKUP($F36,GDHI!$C$3:$U$336,GDHI!R$578,FALSE))</f>
        <v>19495</v>
      </c>
      <c r="V36" s="84">
        <f>IFERROR(VLOOKUP($F36,GDHI!$B$338:$U$574,GDHI!T$578,FALSE),VLOOKUP($F36,GDHI!$C$3:$U$336,GDHI!S$578,FALSE))</f>
        <v>20180</v>
      </c>
      <c r="W36" s="84">
        <f>IFERROR(VLOOKUP($F36,GDHI!$B$338:$U$574,GDHI!U$578,FALSE),VLOOKUP($F36,GDHI!$C$3:$U$336,GDHI!T$578,FALSE))</f>
        <v>21058</v>
      </c>
      <c r="X36" s="84">
        <f>IFERROR(VLOOKUP($F36,GDHI!$B$338:$U$574,GDHI!V$578,FALSE),VLOOKUP($F36,GDHI!$C$3:$U$336,GDHI!U$578,FALSE))</f>
        <v>21473</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Melton to Rural as a Region</v>
      </c>
      <c r="G39" s="122"/>
      <c r="H39" s="123"/>
      <c r="I39" s="74">
        <f>100*((I36-I37)/I37)</f>
        <v>-2.0293007920051669</v>
      </c>
      <c r="J39" s="74">
        <f t="shared" ref="J39:X39" si="6">100*((J36-J37)/J37)</f>
        <v>-2.8578833706712579</v>
      </c>
      <c r="K39" s="74">
        <f t="shared" si="6"/>
        <v>-3.4424291901129638</v>
      </c>
      <c r="L39" s="74">
        <f t="shared" si="6"/>
        <v>-2.4213800551401308</v>
      </c>
      <c r="M39" s="74">
        <f t="shared" si="6"/>
        <v>-4.8312208762435169</v>
      </c>
      <c r="N39" s="74">
        <f t="shared" si="6"/>
        <v>-4.5447317061417314</v>
      </c>
      <c r="O39" s="74">
        <f t="shared" si="6"/>
        <v>-5.4313524834003726</v>
      </c>
      <c r="P39" s="74">
        <f t="shared" si="6"/>
        <v>-4.6912662084906103</v>
      </c>
      <c r="Q39" s="74">
        <f t="shared" si="6"/>
        <v>-4.7660901726370728</v>
      </c>
      <c r="R39" s="74">
        <f t="shared" si="6"/>
        <v>-5.7536499999053916</v>
      </c>
      <c r="S39" s="74">
        <f t="shared" si="6"/>
        <v>-5.243523621358559</v>
      </c>
      <c r="T39" s="74">
        <f t="shared" si="6"/>
        <v>-5.2660980318905581</v>
      </c>
      <c r="U39" s="74">
        <f t="shared" si="6"/>
        <v>-5.4783514151869159</v>
      </c>
      <c r="V39" s="74">
        <f t="shared" si="6"/>
        <v>-3.7465767153615839</v>
      </c>
      <c r="W39" s="74">
        <f t="shared" si="6"/>
        <v>-3.5888894097076571</v>
      </c>
      <c r="X39" s="74">
        <f t="shared" si="6"/>
        <v>-3.5577197101382705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Melton</v>
      </c>
      <c r="G44" s="88"/>
      <c r="H44" s="89"/>
      <c r="I44" s="76">
        <f>VLOOKUP($F44,'LOW PAID'!$A$9:$N$444,6,FALSE)</f>
        <v>37.9</v>
      </c>
      <c r="J44" s="77">
        <f>VLOOKUP($F44,'LOW PAID'!$P$9:$W$444,6,FALSE)</f>
        <v>39.4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Melton to Rural as a Region</v>
      </c>
      <c r="G47" s="122"/>
      <c r="H47" s="123"/>
      <c r="I47" s="74">
        <f>(I44-I45)</f>
        <v>12.706125321786882</v>
      </c>
      <c r="J47" s="74">
        <f>(J44-J45)</f>
        <v>13.713883490969945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Melton</v>
      </c>
      <c r="G52" s="88"/>
      <c r="H52" s="89"/>
      <c r="I52" s="76">
        <f>VLOOKUP($F52,INACTIVITY!$A$6:$BW$345,6,FALSE)</f>
        <v>15.6</v>
      </c>
      <c r="J52" s="77">
        <f>VLOOKUP($F52,INACTIVITY!$A$6:$BW$345,10,FALSE)</f>
        <v>18.8</v>
      </c>
      <c r="K52" s="77">
        <f>VLOOKUP($F52,INACTIVITY!$A$6:$BW$345,14,FALSE)</f>
        <v>17.399999999999999</v>
      </c>
      <c r="L52" s="77">
        <f>VLOOKUP($F52,INACTIVITY!$A$6:$BW$345,18,FALSE)</f>
        <v>18.399999999999999</v>
      </c>
      <c r="M52" s="77">
        <f>VLOOKUP($F52,INACTIVITY!$A$6:$BW$345,22,FALSE)</f>
        <v>16.8</v>
      </c>
      <c r="N52" s="77">
        <f>VLOOKUP($F52,INACTIVITY!$A$6:$BW$345,26,FALSE)</f>
        <v>19.8</v>
      </c>
      <c r="O52" s="77">
        <f>VLOOKUP($F52,INACTIVITY!$A$6:$BW$345,30,FALSE)</f>
        <v>25.9</v>
      </c>
      <c r="P52" s="77">
        <f>VLOOKUP($F52,INACTIVITY!$A$6:$BW$345,34,FALSE)</f>
        <v>19.5</v>
      </c>
      <c r="Q52" s="77">
        <f>VLOOKUP($F52,INACTIVITY!$A$6:$BW$345,38,FALSE)</f>
        <v>13.8</v>
      </c>
      <c r="R52" s="77">
        <f>VLOOKUP($F52,INACTIVITY!$A$6:$BW$345,42,FALSE)</f>
        <v>16.399999999999999</v>
      </c>
      <c r="S52" s="77">
        <f>VLOOKUP($F52,INACTIVITY!$A$6:$BW$345,46,FALSE)</f>
        <v>18.100000000000001</v>
      </c>
      <c r="T52" s="77">
        <f>VLOOKUP($F52,INACTIVITY!$A$6:$BW$345,50,FALSE)</f>
        <v>17.399999999999999</v>
      </c>
      <c r="U52" s="77">
        <f>VLOOKUP($F52,INACTIVITY!$A$6:$BW$345,54,FALSE)</f>
        <v>17.899999999999999</v>
      </c>
      <c r="V52" s="77">
        <f>VLOOKUP($F52,INACTIVITY!$A$6:$BW$345,58,FALSE)</f>
        <v>16.899999999999999</v>
      </c>
      <c r="W52" s="77">
        <f>VLOOKUP($F52,INACTIVITY!$A$6:$BW$345,62,FALSE)</f>
        <v>11.9</v>
      </c>
      <c r="X52" s="77">
        <f>VLOOKUP($F52,INACTIVITY!$A$6:$BW$345,66,FALSE)</f>
        <v>14</v>
      </c>
      <c r="Y52" s="77">
        <f>VLOOKUP($F52,INACTIVITY!$A$6:$BW$345,70,FALSE)</f>
        <v>17.2</v>
      </c>
      <c r="Z52" s="77">
        <f>VLOOKUP($F52,INACTIVITY!$A$6:$BW$345,74,FALSE)</f>
        <v>26.7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Melton to Rural as a Region</v>
      </c>
      <c r="G55" s="122"/>
      <c r="H55" s="123"/>
      <c r="I55" s="74">
        <f>(I52-I53)</f>
        <v>-5.7956445716102376</v>
      </c>
      <c r="J55" s="74">
        <f t="shared" ref="J55:Z55" si="10">(J52-J53)</f>
        <v>-2.2085227272727259</v>
      </c>
      <c r="K55" s="74">
        <f t="shared" si="10"/>
        <v>-3.4624653934587784</v>
      </c>
      <c r="L55" s="74">
        <f t="shared" si="10"/>
        <v>-2.9140653315366407</v>
      </c>
      <c r="M55" s="74">
        <f t="shared" si="10"/>
        <v>-4.0350023108920041</v>
      </c>
      <c r="N55" s="74">
        <f t="shared" si="10"/>
        <v>-1.1331437579204398</v>
      </c>
      <c r="O55" s="74">
        <f t="shared" si="10"/>
        <v>4.2080628724948248</v>
      </c>
      <c r="P55" s="74">
        <f t="shared" si="10"/>
        <v>-1.9942457807534488</v>
      </c>
      <c r="Q55" s="74">
        <f t="shared" si="10"/>
        <v>-7.3825487944890931</v>
      </c>
      <c r="R55" s="74">
        <f t="shared" si="10"/>
        <v>-4.3745930974387726</v>
      </c>
      <c r="S55" s="74">
        <f t="shared" si="10"/>
        <v>-2.1732104559723986</v>
      </c>
      <c r="T55" s="74">
        <f t="shared" si="10"/>
        <v>-2.2961946834069593</v>
      </c>
      <c r="U55" s="74">
        <f t="shared" si="10"/>
        <v>-1.9524293470694722</v>
      </c>
      <c r="V55" s="74">
        <f t="shared" si="10"/>
        <v>-2.3532773342803779</v>
      </c>
      <c r="W55" s="74">
        <f t="shared" si="10"/>
        <v>-7.2769560091828485</v>
      </c>
      <c r="X55" s="74">
        <f t="shared" si="10"/>
        <v>-4.8520649493649302</v>
      </c>
      <c r="Y55" s="74">
        <f t="shared" si="10"/>
        <v>-2.5725827218714628</v>
      </c>
      <c r="Z55" s="74">
        <f t="shared" si="10"/>
        <v>5.6148202243699288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Melton</v>
      </c>
      <c r="G60" s="88"/>
      <c r="H60" s="89"/>
      <c r="I60" s="76">
        <f>VLOOKUP($F60,DISABILITY!$A$718:$I$1052,DISABILITY!B$1053,FALSE)</f>
        <v>27.1</v>
      </c>
      <c r="J60" s="77">
        <f>VLOOKUP($F60,DISABILITY!$A$718:$I$1052,DISABILITY!C$1053,FALSE)</f>
        <v>8.5999999999999943</v>
      </c>
      <c r="K60" s="77">
        <f>VLOOKUP($F60,DISABILITY!$A$718:$I$1052,DISABILITY!D$1053,FALSE)</f>
        <v>4</v>
      </c>
      <c r="L60" s="77">
        <f>VLOOKUP($F60,DISABILITY!$A$718:$I$1052,DISABILITY!E$1053,FALSE)</f>
        <v>18.200000000000003</v>
      </c>
      <c r="M60" s="77">
        <f>VLOOKUP($F60,DISABILITY!$A$718:$I$1052,DISABILITY!F$1053,FALSE)</f>
        <v>33.699999999999996</v>
      </c>
      <c r="N60" s="77">
        <f>VLOOKUP($F60,DISABILITY!$A$718:$I$1052,DISABILITY!G$1053,FALSE)</f>
        <v>21.799999999999997</v>
      </c>
      <c r="O60" s="77">
        <f>VLOOKUP($F60,DISABILITY!$A$718:$I$1052,DISABILITY!H$1053,FALSE)</f>
        <v>17.400000000000006</v>
      </c>
      <c r="P60" s="77">
        <f>VLOOKUP($F60,DISABILITY!$A$718:$I$1052,DISABILITY!I$1053,FALSE)</f>
        <v>19.5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Melton to Rural as a Region</v>
      </c>
      <c r="G63" s="122"/>
      <c r="H63" s="123"/>
      <c r="I63" s="74">
        <f>(I60-I61)</f>
        <v>-0.32015654064724686</v>
      </c>
      <c r="J63" s="74">
        <f t="shared" ref="J63:P63" si="12">(J60-J61)</f>
        <v>-18.719044407051193</v>
      </c>
      <c r="K63" s="74">
        <f t="shared" si="12"/>
        <v>-24.119128361498205</v>
      </c>
      <c r="L63" s="74">
        <f t="shared" si="12"/>
        <v>-7.7909345389966731</v>
      </c>
      <c r="M63" s="74">
        <f t="shared" si="12"/>
        <v>8.2247741813338777</v>
      </c>
      <c r="N63" s="74">
        <f t="shared" si="12"/>
        <v>-3.7312476854419856</v>
      </c>
      <c r="O63" s="74">
        <f t="shared" si="12"/>
        <v>-6.3972222879969394</v>
      </c>
      <c r="P63" s="74">
        <f t="shared" si="12"/>
        <v>-5.8541779303421748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Melton</v>
      </c>
      <c r="G68" s="88"/>
      <c r="H68" s="89"/>
      <c r="I68" s="76" t="str">
        <f>VLOOKUP($F68,'WORKLESS HOUSEHOLDS'!$DW$4:$EC$397,7,FALSE)</f>
        <v>*</v>
      </c>
      <c r="J68" s="77" t="str">
        <f>VLOOKUP($F68,'WORKLESS HOUSEHOLDS'!$DN$4:$DT$397,7,FALSE)</f>
        <v>*</v>
      </c>
      <c r="K68" s="77" t="str">
        <f>VLOOKUP($F68,'WORKLESS HOUSEHOLDS'!$DE$4:$DK$397,7,FALSE)</f>
        <v>*</v>
      </c>
      <c r="L68" s="77">
        <f>VLOOKUP($F68,'WORKLESS HOUSEHOLDS'!$CV$4:$DB$397,7,FALSE)</f>
        <v>11.397401566993951</v>
      </c>
      <c r="M68" s="77">
        <f>VLOOKUP($F68,'WORKLESS HOUSEHOLDS'!$CM$4:$CS$397,7,FALSE)</f>
        <v>21.660082025137779</v>
      </c>
      <c r="N68" s="77">
        <f>VLOOKUP($F68,'WORKLESS HOUSEHOLDS'!$CD$4:$CJ$397,7,FALSE)</f>
        <v>12.302914476827521</v>
      </c>
      <c r="O68" s="77" t="str">
        <f>VLOOKUP($F68,'WORKLESS HOUSEHOLDS'!$BU$4:$CA$397,7,FALSE)</f>
        <v>#</v>
      </c>
      <c r="P68" s="77">
        <f>VLOOKUP($F68,'WORKLESS HOUSEHOLDS'!$BL$4:$BR$397,7,FALSE)</f>
        <v>17.24300164667137</v>
      </c>
      <c r="Q68" s="77">
        <f>VLOOKUP($F68,'WORKLESS HOUSEHOLDS'!$BC$4:$BI$397,7,FALSE)</f>
        <v>9.2651010632083182</v>
      </c>
      <c r="R68" s="77">
        <f>VLOOKUP($F68,'WORKLESS HOUSEHOLDS'!$AT$4:$AZ$397,7,FALSE)</f>
        <v>13.272441843870414</v>
      </c>
      <c r="S68" s="77">
        <f>VLOOKUP($F68,'WORKLESS HOUSEHOLDS'!$AK$4:$AQ$397,7,FALSE)</f>
        <v>21.016066000868435</v>
      </c>
      <c r="T68" s="77">
        <f>VLOOKUP($F68,'WORKLESS HOUSEHOLDS'!$AB$4:$AH$397,7,FALSE)</f>
        <v>12.392578125</v>
      </c>
      <c r="U68" s="77">
        <f>VLOOKUP($F68,'WORKLESS HOUSEHOLDS'!$S$4:$Y$397,7,FALSE)</f>
        <v>12.20576567045755</v>
      </c>
      <c r="V68" s="77">
        <f>VLOOKUP($F68,'WORKLESS HOUSEHOLDS'!$J$4:$P$397,7,FALSE)</f>
        <v>15.175154548130704</v>
      </c>
      <c r="W68" s="77">
        <f>VLOOKUP($F68,'WORKLESS HOUSEHOLDS'!$B$4:$H$397,7,FALSE)</f>
        <v>41.633493479752914</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Melton to Rural as a Region</v>
      </c>
      <c r="G71" s="122"/>
      <c r="H71" s="123"/>
      <c r="I71" s="74" t="e">
        <f>(I68-I69)</f>
        <v>#VALUE!</v>
      </c>
      <c r="J71" s="74" t="e">
        <f t="shared" ref="J71:W71" si="14">(J68-J69)</f>
        <v>#VALUE!</v>
      </c>
      <c r="K71" s="74" t="e">
        <f t="shared" si="14"/>
        <v>#VALUE!</v>
      </c>
      <c r="L71" s="74">
        <f t="shared" si="14"/>
        <v>0.43139490566421834</v>
      </c>
      <c r="M71" s="74">
        <f t="shared" si="14"/>
        <v>9.9663028439493058</v>
      </c>
      <c r="N71" s="74">
        <f t="shared" si="14"/>
        <v>0.40181479757213978</v>
      </c>
      <c r="O71" s="74" t="e">
        <f t="shared" si="14"/>
        <v>#VALUE!</v>
      </c>
      <c r="P71" s="74">
        <f t="shared" si="14"/>
        <v>7.5515037609035325</v>
      </c>
      <c r="Q71" s="74">
        <f t="shared" si="14"/>
        <v>-1.5400771971900937</v>
      </c>
      <c r="R71" s="74">
        <f t="shared" si="14"/>
        <v>2.5663455201408603</v>
      </c>
      <c r="S71" s="74">
        <f t="shared" si="14"/>
        <v>10.863321172719553</v>
      </c>
      <c r="T71" s="74">
        <f t="shared" si="14"/>
        <v>2.4889099303672495</v>
      </c>
      <c r="U71" s="74">
        <f t="shared" si="14"/>
        <v>1.4437155057780746</v>
      </c>
      <c r="V71" s="74">
        <f t="shared" si="14"/>
        <v>5.2362860715910564</v>
      </c>
      <c r="W71" s="74">
        <f t="shared" si="14"/>
        <v>31.280792056568721</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Melton</v>
      </c>
      <c r="G76" s="88"/>
      <c r="H76" s="89"/>
      <c r="I76" s="76">
        <f>VLOOKUP($F76,'SKILLED EMPLOYMENT'!$A$1506:$BW$1841,6,FALSE)</f>
        <v>48.7</v>
      </c>
      <c r="J76" s="77">
        <f>VLOOKUP($F76,'SKILLED EMPLOYMENT'!$A$1506:$BW$1841,10,FALSE)</f>
        <v>51.1</v>
      </c>
      <c r="K76" s="77">
        <f>VLOOKUP($F76,'SKILLED EMPLOYMENT'!$A$1506:$BW$1841,14,FALSE)</f>
        <v>50.5</v>
      </c>
      <c r="L76" s="77">
        <f>VLOOKUP($F76,'SKILLED EMPLOYMENT'!$A$1506:$BW$1841,18,FALSE)</f>
        <v>55.8</v>
      </c>
      <c r="M76" s="77">
        <f>VLOOKUP($F76,'SKILLED EMPLOYMENT'!$A$1506:$BW$1841,22,FALSE)</f>
        <v>56.6</v>
      </c>
      <c r="N76" s="77">
        <f>VLOOKUP($F76,'SKILLED EMPLOYMENT'!$A$1506:$BW$1841,26,FALSE)</f>
        <v>60.500000000000007</v>
      </c>
      <c r="O76" s="77">
        <f>VLOOKUP($F76,'SKILLED EMPLOYMENT'!$A$1506:$BW$1841,30,FALSE)</f>
        <v>67.900000000000006</v>
      </c>
      <c r="P76" s="77">
        <f>VLOOKUP($F76,'SKILLED EMPLOYMENT'!$A$1506:$BW$1841,34,FALSE)</f>
        <v>58.7</v>
      </c>
      <c r="Q76" s="77">
        <f>VLOOKUP($F76,'SKILLED EMPLOYMENT'!$A$1506:$BW$1841,38,FALSE)</f>
        <v>58.8</v>
      </c>
      <c r="R76" s="77">
        <f>VLOOKUP($F76,'SKILLED EMPLOYMENT'!$A$1506:$BW$1841,42,FALSE)</f>
        <v>66.099999999999994</v>
      </c>
      <c r="S76" s="77">
        <f>VLOOKUP($F76,'SKILLED EMPLOYMENT'!$A$1506:$BW$1841,46,FALSE)</f>
        <v>55.899999999999991</v>
      </c>
      <c r="T76" s="77">
        <f>VLOOKUP($F76,'SKILLED EMPLOYMENT'!$A$1506:$BW$1841,50,FALSE)</f>
        <v>48.7</v>
      </c>
      <c r="U76" s="77">
        <f>VLOOKUP($F76,'SKILLED EMPLOYMENT'!$A$1506:$BW$1841,54,FALSE)</f>
        <v>43.599999999999994</v>
      </c>
      <c r="V76" s="77">
        <f>VLOOKUP($F76,'SKILLED EMPLOYMENT'!$A$1506:$BW$1841,58,FALSE)</f>
        <v>47.7</v>
      </c>
      <c r="W76" s="77">
        <f>VLOOKUP($F76,'SKILLED EMPLOYMENT'!$A$1506:$BW$1841,62,FALSE)</f>
        <v>44.8</v>
      </c>
      <c r="X76" s="77">
        <f>VLOOKUP($F76,'SKILLED EMPLOYMENT'!$A$1506:$BW$1841,66,FALSE)</f>
        <v>41.599999999999994</v>
      </c>
      <c r="Y76" s="77">
        <f>VLOOKUP($F76,'SKILLED EMPLOYMENT'!$A$1506:$BW$1841,70,FALSE)</f>
        <v>49.2</v>
      </c>
      <c r="Z76" s="77">
        <f>VLOOKUP($F76,'SKILLED EMPLOYMENT'!$A$1506:$BW$1841,74,FALSE)</f>
        <v>55.7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Melton to Rural as a Region</v>
      </c>
      <c r="G79" s="122"/>
      <c r="H79" s="123"/>
      <c r="I79" s="74">
        <f>(I76-I77)</f>
        <v>-4</v>
      </c>
      <c r="J79" s="74">
        <f t="shared" ref="J79:Z79" si="17">(J76-J77)</f>
        <v>-1.7999999999999972</v>
      </c>
      <c r="K79" s="74">
        <f t="shared" si="17"/>
        <v>-3</v>
      </c>
      <c r="L79" s="74">
        <f t="shared" si="17"/>
        <v>1.7999999999999972</v>
      </c>
      <c r="M79" s="74">
        <f t="shared" si="17"/>
        <v>2.5</v>
      </c>
      <c r="N79" s="74">
        <f t="shared" si="17"/>
        <v>6.1000000000000085</v>
      </c>
      <c r="O79" s="74">
        <f t="shared" si="17"/>
        <v>12.500000000000007</v>
      </c>
      <c r="P79" s="74">
        <f t="shared" si="17"/>
        <v>3.1000000000000014</v>
      </c>
      <c r="Q79" s="74">
        <f t="shared" si="17"/>
        <v>3.3999999999999986</v>
      </c>
      <c r="R79" s="74">
        <f t="shared" si="17"/>
        <v>9.8999999999999915</v>
      </c>
      <c r="S79" s="74">
        <f t="shared" si="17"/>
        <v>-0.30000000000001137</v>
      </c>
      <c r="T79" s="74">
        <f t="shared" si="17"/>
        <v>-8.0999999999999943</v>
      </c>
      <c r="U79" s="74">
        <f t="shared" si="17"/>
        <v>-13.000000000000007</v>
      </c>
      <c r="V79" s="74">
        <f t="shared" si="17"/>
        <v>-9.3999999999999986</v>
      </c>
      <c r="W79" s="74">
        <f t="shared" si="17"/>
        <v>-13</v>
      </c>
      <c r="X79" s="74">
        <f t="shared" si="17"/>
        <v>-17.200000000000003</v>
      </c>
      <c r="Y79" s="74">
        <f t="shared" si="17"/>
        <v>-9.5</v>
      </c>
      <c r="Z79" s="74">
        <f t="shared" si="17"/>
        <v>-2.6999999999999957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vCmnIvpdsreZkr2PbI33Gz60e4DsPdkOjXe24CFkUkG/fATTCRePx1PTcGLKLn4I+ozaCOHhh/YdqLu/WMUSNg==" saltValue="W3NCCDdftctuhlVWzZPoh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2022-08-02T11:29:53Z</dcterms:modified>
</cp:coreProperties>
</file>