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6" documentId="8_{9991C1AF-8DDE-4194-A757-44962556BB40}" xr6:coauthVersionLast="47" xr6:coauthVersionMax="47" xr10:uidLastSave="{C79EE1F5-C1A7-4014-8291-DCC4EAAF6F58}"/>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<sst xmlns="http://schemas.openxmlformats.org/spreadsheetml/2006/main" count="32859" uniqueCount="1676">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</sst>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Mendip</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20.76</c:v>
                </c:pt>
                <c:pt idx="1">
                  <c:v>20.71</c:v>
                </c:pt>
                <c:pt idx="2">
                  <c:v>21.68</c:v>
                </c:pt>
                <c:pt idx="3">
                  <c:v>22.46</c:v>
                </c:pt>
                <c:pt idx="4">
                  <c:v>23.3</c:v>
                </c:pt>
                <c:pt idx="5">
                  <c:v>23.77</c:v>
                </c:pt>
                <c:pt idx="6">
                  <c:v>23.92</c:v>
                </c:pt>
                <c:pt idx="7">
                  <c:v>23.78</c:v>
                </c:pt>
                <c:pt idx="8">
                  <c:v>23.63</c:v>
                </c:pt>
                <c:pt idx="9">
                  <c:v>23.63</c:v>
                </c:pt>
                <c:pt idx="10">
                  <c:v>23.82</c:v>
                </c:pt>
                <c:pt idx="11">
                  <c:v>24.06</c:v>
                </c:pt>
                <c:pt idx="12">
                  <c:v>24.31</c:v>
                </c:pt>
                <c:pt idx="13">
                  <c:v>24.61</c:v>
                </c:pt>
                <c:pt idx="14">
                  <c:v>24.92</c:v>
                </c:pt>
                <c:pt idx="15">
                  <c:v>25.15</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Mendip</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410.4</c:v>
                </c:pt>
                <c:pt idx="1">
                  <c:v>398.2</c:v>
                </c:pt>
                <c:pt idx="2">
                  <c:v>450.1</c:v>
                </c:pt>
                <c:pt idx="3">
                  <c:v>454.1</c:v>
                </c:pt>
                <c:pt idx="4">
                  <c:v>395.7</c:v>
                </c:pt>
                <c:pt idx="5">
                  <c:v>442.1</c:v>
                </c:pt>
                <c:pt idx="6">
                  <c:v>428.6</c:v>
                </c:pt>
                <c:pt idx="7">
                  <c:v>433.6</c:v>
                </c:pt>
                <c:pt idx="8">
                  <c:v>410.7</c:v>
                </c:pt>
                <c:pt idx="9">
                  <c:v>457.1</c:v>
                </c:pt>
                <c:pt idx="10">
                  <c:v>439.8</c:v>
                </c:pt>
                <c:pt idx="11">
                  <c:v>462</c:v>
                </c:pt>
                <c:pt idx="12">
                  <c:v>516.9</c:v>
                </c:pt>
                <c:pt idx="13">
                  <c:v>539.70000000000005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Mendip</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77.2</c:v>
                </c:pt>
                <c:pt idx="1">
                  <c:v>76.2</c:v>
                </c:pt>
                <c:pt idx="2">
                  <c:v>75.5</c:v>
                </c:pt>
                <c:pt idx="3">
                  <c:v>81</c:v>
                </c:pt>
                <c:pt idx="4">
                  <c:v>78.7</c:v>
                </c:pt>
                <c:pt idx="5">
                  <c:v>73.599999999999994</c:v>
                </c:pt>
                <c:pt idx="6">
                  <c:v>79.099999999999994</c:v>
                </c:pt>
                <c:pt idx="7">
                  <c:v>75.7</c:v>
                </c:pt>
                <c:pt idx="8">
                  <c:v>76.7</c:v>
                </c:pt>
                <c:pt idx="9">
                  <c:v>71.5</c:v>
                </c:pt>
                <c:pt idx="10">
                  <c:v>76.400000000000006</c:v>
                </c:pt>
                <c:pt idx="11">
                  <c:v>75.8</c:v>
                </c:pt>
                <c:pt idx="12">
                  <c:v>73.099999999999994</c:v>
                </c:pt>
                <c:pt idx="13">
                  <c:v>71.5</c:v>
                </c:pt>
                <c:pt idx="14">
                  <c:v>77.3</c:v>
                </c:pt>
                <c:pt idx="15">
                  <c:v>84.4</c:v>
                </c:pt>
                <c:pt idx="16">
                  <c:v>81.599999999999994</c:v>
                </c:pt>
                <c:pt idx="17">
                  <c:v>79.400000000000006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Mendip</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14353</c:v>
                </c:pt>
                <c:pt idx="1">
                  <c:v>14935</c:v>
                </c:pt>
                <c:pt idx="2">
                  <c:v>15748</c:v>
                </c:pt>
                <c:pt idx="3">
                  <c:v>16372</c:v>
                </c:pt>
                <c:pt idx="4">
                  <c:v>16928</c:v>
                </c:pt>
                <c:pt idx="5">
                  <c:v>16825</c:v>
                </c:pt>
                <c:pt idx="6">
                  <c:v>17449</c:v>
                </c:pt>
                <c:pt idx="7">
                  <c:v>17825</c:v>
                </c:pt>
                <c:pt idx="8">
                  <c:v>18093</c:v>
                </c:pt>
                <c:pt idx="9">
                  <c:v>18561</c:v>
                </c:pt>
                <c:pt idx="10">
                  <c:v>19319</c:v>
                </c:pt>
                <c:pt idx="11">
                  <c:v>20149</c:v>
                </c:pt>
                <c:pt idx="12">
                  <c:v>20298</c:v>
                </c:pt>
                <c:pt idx="13">
                  <c:v>20729</c:v>
                </c:pt>
                <c:pt idx="14">
                  <c:v>21652</c:v>
                </c:pt>
                <c:pt idx="15">
                  <c:v>22146</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Mendip</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28.1</c:v>
                </c:pt>
                <c:pt idx="1">
                  <c:v>32.4</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Mendip</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21.3</c:v>
                </c:pt>
                <c:pt idx="1">
                  <c:v>21.3</c:v>
                </c:pt>
                <c:pt idx="2">
                  <c:v>21.8</c:v>
                </c:pt>
                <c:pt idx="3">
                  <c:v>14.8</c:v>
                </c:pt>
                <c:pt idx="4">
                  <c:v>19.7</c:v>
                </c:pt>
                <c:pt idx="5">
                  <c:v>22.9</c:v>
                </c:pt>
                <c:pt idx="6">
                  <c:v>15.3</c:v>
                </c:pt>
                <c:pt idx="7">
                  <c:v>21</c:v>
                </c:pt>
                <c:pt idx="8">
                  <c:v>20.2</c:v>
                </c:pt>
                <c:pt idx="9">
                  <c:v>24.6</c:v>
                </c:pt>
                <c:pt idx="10">
                  <c:v>20.3</c:v>
                </c:pt>
                <c:pt idx="11">
                  <c:v>21.4</c:v>
                </c:pt>
                <c:pt idx="12">
                  <c:v>23</c:v>
                </c:pt>
                <c:pt idx="13">
                  <c:v>24.4</c:v>
                </c:pt>
                <c:pt idx="14">
                  <c:v>15.6</c:v>
                </c:pt>
                <c:pt idx="15">
                  <c:v>14.9</c:v>
                </c:pt>
                <c:pt idx="16">
                  <c:v>14.1</c:v>
                </c:pt>
                <c:pt idx="17">
                  <c:v>17.8</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Mendip</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23</c:v>
                </c:pt>
                <c:pt idx="1">
                  <c:v>12.700000000000003</c:v>
                </c:pt>
                <c:pt idx="2">
                  <c:v>21.900000000000006</c:v>
                </c:pt>
                <c:pt idx="3">
                  <c:v>37.199999999999996</c:v>
                </c:pt>
                <c:pt idx="4">
                  <c:v>31.6</c:v>
                </c:pt>
                <c:pt idx="5">
                  <c:v>21.299999999999997</c:v>
                </c:pt>
                <c:pt idx="6">
                  <c:v>19.099999999999994</c:v>
                </c:pt>
                <c:pt idx="7">
                  <c:v>32.399999999999991</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Mendip</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9.0135896847445931</c:v>
                </c:pt>
                <c:pt idx="1">
                  <c:v>6.346752774454635</c:v>
                </c:pt>
                <c:pt idx="2">
                  <c:v>3.9172294997919987</c:v>
                </c:pt>
                <c:pt idx="3">
                  <c:v>3.0427892403785886</c:v>
                </c:pt>
                <c:pt idx="4">
                  <c:v>6.2011265860373737</c:v>
                </c:pt>
                <c:pt idx="5">
                  <c:v>11.831751633363536</c:v>
                </c:pt>
                <c:pt idx="6">
                  <c:v>6.6558208526723766</c:v>
                </c:pt>
                <c:pt idx="7">
                  <c:v>12.376193845065441</c:v>
                </c:pt>
                <c:pt idx="8">
                  <c:v>0</c:v>
                </c:pt>
                <c:pt idx="9">
                  <c:v>0</c:v>
                </c:pt>
                <c:pt idx="10">
                  <c:v>0</c:v>
                </c:pt>
                <c:pt idx="11">
                  <c:v>9.8109756097560972</c:v>
                </c:pt>
                <c:pt idx="12">
                  <c:v>6.1834605871599102</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Mendip</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52.400000000000006</c:v>
                </c:pt>
                <c:pt idx="1">
                  <c:v>52.400000000000006</c:v>
                </c:pt>
                <c:pt idx="2">
                  <c:v>53.199999999999996</c:v>
                </c:pt>
                <c:pt idx="3">
                  <c:v>48.8</c:v>
                </c:pt>
                <c:pt idx="4">
                  <c:v>52.8</c:v>
                </c:pt>
                <c:pt idx="5">
                  <c:v>47</c:v>
                </c:pt>
                <c:pt idx="6">
                  <c:v>53.5</c:v>
                </c:pt>
                <c:pt idx="7">
                  <c:v>50</c:v>
                </c:pt>
                <c:pt idx="8">
                  <c:v>54.2</c:v>
                </c:pt>
                <c:pt idx="9">
                  <c:v>50.2</c:v>
                </c:pt>
                <c:pt idx="10">
                  <c:v>60.800000000000004</c:v>
                </c:pt>
                <c:pt idx="11">
                  <c:v>61</c:v>
                </c:pt>
                <c:pt idx="12">
                  <c:v>60.1</c:v>
                </c:pt>
                <c:pt idx="13">
                  <c:v>55</c:v>
                </c:pt>
                <c:pt idx="14">
                  <c:v>58</c:v>
                </c:pt>
                <c:pt idx="15">
                  <c:v>51.300000000000004</c:v>
                </c:pt>
                <c:pt idx="16">
                  <c:v>55.4</c:v>
                </c:pt>
                <c:pt idx="17">
                  <c:v>57.1</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Mendip is in line with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The GDHI within Mendip from 2004 to 2019 is bounded by the rural and England situations.</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Mendip in 2017 and 2018 is greater than the rural situation and an increase between the years widens the gap.</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Mendip's economic inactivity rate has fluctuated taking it both above as well as below the proportions seen for </a:t>
          </a:r>
          <a:r>
            <a:rPr lang="en-GB" sz="1100">
              <a:latin typeface="Avenir Next LT Pro" panose="020B0504020202020204" pitchFamily="34" charset="0"/>
            </a:rPr>
            <a:t>England and rural on average.</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Mendip from 2014 to 2021 shows no real pattern of change.</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Mendip has been less stable and has in certain years been significantly less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78</xdr:row>
      <xdr:rowOff>121920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10287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Mendip in general does have an upward trend from its position in 2004 to that in 2021 that mirrors the rural and England situations, however it has experienced year on year fluctuations that takes it from being greater to being less than those two comparator areas.</a:t>
          </a:r>
          <a:endParaRPr lang="en-GB" sz="1100">
            <a:latin typeface="Avenir Next LT Pro" panose="020B0504020202020204" pitchFamily="34" charset="0"/>
          </a:endParaRPr>
        </a:p>
      </xdr:txBody>
    </xdr:sp>
    <xdr:clientData/>
  </xdr:twoCellAnchor>
  <xdr:twoCellAnchor>
    <xdr:from>
      <xdr:col>0</xdr:col>
      <xdr:colOff>632460</xdr:colOff>
      <xdr:row>20</xdr:row>
      <xdr:rowOff>609600</xdr:rowOff>
    </xdr:from>
    <xdr:to>
      <xdr:col>1</xdr:col>
      <xdr:colOff>2613660</xdr:colOff>
      <xdr:row>22</xdr:row>
      <xdr:rowOff>137160</xdr:rowOff>
    </xdr:to>
    <xdr:sp macro="" textlink="">
      <xdr:nvSpPr>
        <xdr:cNvPr id="20" name="TextBox 19">
          <a:extLst>
            <a:ext uri="{FF2B5EF4-FFF2-40B4-BE49-F238E27FC236}">
              <a16:creationId xmlns:a16="http://schemas.microsoft.com/office/drawing/2014/main" id="{C7073CA1-7DAB-4B75-96D9-750359BBA3A7}"/>
            </a:ext>
          </a:extLst>
        </xdr:cNvPr>
        <xdr:cNvSpPr txBox="1"/>
      </xdr:nvSpPr>
      <xdr:spPr>
        <a:xfrm>
          <a:off x="632460" y="75361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Mendip has fluctuated a little over the years, but is generally just below the rural average situation.</a:t>
          </a:r>
          <a:endParaRPr lang="en-GB" sz="1100">
            <a:latin typeface="Avenir Next LT Pro" panose="020B0504020202020204" pitchFamily="34" charset="0"/>
          </a:endParaRPr>
        </a:p>
      </xdr:txBody>
    </xdr:sp>
    <xdr:clientData/>
  </xdr:twoCellAnchor>
  <xdr:twoCellAnchor>
    <xdr:from>
      <xdr:col>0</xdr:col>
      <xdr:colOff>586740</xdr:colOff>
      <xdr:row>12</xdr:row>
      <xdr:rowOff>502920</xdr:rowOff>
    </xdr:from>
    <xdr:to>
      <xdr:col>1</xdr:col>
      <xdr:colOff>2567940</xdr:colOff>
      <xdr:row>14</xdr:row>
      <xdr:rowOff>350520</xdr:rowOff>
    </xdr:to>
    <xdr:sp macro="" textlink="">
      <xdr:nvSpPr>
        <xdr:cNvPr id="21" name="TextBox 20">
          <a:extLst>
            <a:ext uri="{FF2B5EF4-FFF2-40B4-BE49-F238E27FC236}">
              <a16:creationId xmlns:a16="http://schemas.microsoft.com/office/drawing/2014/main" id="{9902BAF5-E7F0-447F-88F6-B219B28DDA13}"/>
            </a:ext>
          </a:extLst>
        </xdr:cNvPr>
        <xdr:cNvSpPr txBox="1"/>
      </xdr:nvSpPr>
      <xdr:spPr>
        <a:xfrm>
          <a:off x="586740" y="3489960"/>
          <a:ext cx="6682740" cy="11430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Mendip in 2004 was below both the rural and England situations.  It's GVA per hour worked increased to 2019 at a lower overall rate and thus the gap widened taking the percentage difference to 'Rural as a Region' from 12 to 18%</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447</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Mendip</v>
      </c>
      <c r="G12" s="88" t="str">
        <f>IFERROR(VLOOKUP(F12,GVA!B244:B552,1,FALSE),VLOOKUP(F12,GVA!B6:C230,2,FALSE))</f>
        <v>Mendip</v>
      </c>
      <c r="H12" s="89" t="str">
        <f>IF(F12=G12,"",G12)</f>
        <v/>
      </c>
      <c r="I12" s="76">
        <f>IFERROR(VLOOKUP($F12,GVA!$B$7:$S$230,GVA!D$3,FALSE),VLOOKUP($F12,GVA!$B$244:$T$554,GVA!E$3,FALSE))</f>
        <v>20.76</v>
      </c>
      <c r="J12" s="77">
        <f>IFERROR(VLOOKUP($F12,GVA!$B$7:$S$230,GVA!E$3,FALSE),VLOOKUP($F12,GVA!$B$244:$T$554,GVA!F$3,FALSE))</f>
        <v>20.71</v>
      </c>
      <c r="K12" s="77">
        <f>IFERROR(VLOOKUP($F12,GVA!$B$7:$S$230,GVA!F$3,FALSE),VLOOKUP($F12,GVA!$B$244:$T$554,GVA!G$3,FALSE))</f>
        <v>21.68</v>
      </c>
      <c r="L12" s="77">
        <f>IFERROR(VLOOKUP($F12,GVA!$B$7:$S$230,GVA!G$3,FALSE),VLOOKUP($F12,GVA!$B$244:$T$554,GVA!H$3,FALSE))</f>
        <v>22.46</v>
      </c>
      <c r="M12" s="77">
        <f>IFERROR(VLOOKUP($F12,GVA!$B$7:$S$230,GVA!H$3,FALSE),VLOOKUP($F12,GVA!$B$244:$T$554,GVA!I$3,FALSE))</f>
        <v>23.3</v>
      </c>
      <c r="N12" s="77">
        <f>IFERROR(VLOOKUP($F12,GVA!$B$7:$S$230,GVA!I$3,FALSE),VLOOKUP($F12,GVA!$B$244:$T$554,GVA!J$3,FALSE))</f>
        <v>23.77</v>
      </c>
      <c r="O12" s="77">
        <f>IFERROR(VLOOKUP($F12,GVA!$B$7:$S$230,GVA!J$3,FALSE),VLOOKUP($F12,GVA!$B$244:$T$554,GVA!K$3,FALSE))</f>
        <v>23.92</v>
      </c>
      <c r="P12" s="77">
        <f>IFERROR(VLOOKUP($F12,GVA!$B$7:$S$230,GVA!K$3,FALSE),VLOOKUP($F12,GVA!$B$244:$T$554,GVA!L$3,FALSE))</f>
        <v>23.78</v>
      </c>
      <c r="Q12" s="77">
        <f>IFERROR(VLOOKUP($F12,GVA!$B$7:$S$230,GVA!L$3,FALSE),VLOOKUP($F12,GVA!$B$244:$T$554,GVA!M$3,FALSE))</f>
        <v>23.63</v>
      </c>
      <c r="R12" s="77">
        <f>IFERROR(VLOOKUP($F12,GVA!$B$7:$S$230,GVA!M$3,FALSE),VLOOKUP($F12,GVA!$B$244:$T$554,GVA!N$3,FALSE))</f>
        <v>23.63</v>
      </c>
      <c r="S12" s="77">
        <f>IFERROR(VLOOKUP($F12,GVA!$B$7:$S$230,GVA!N$3,FALSE),VLOOKUP($F12,GVA!$B$244:$T$554,GVA!O$3,FALSE))</f>
        <v>23.82</v>
      </c>
      <c r="T12" s="77">
        <f>IFERROR(VLOOKUP($F12,GVA!$B$7:$S$230,GVA!O$3,FALSE),VLOOKUP($F12,GVA!$B$244:$T$554,GVA!P$3,FALSE))</f>
        <v>24.06</v>
      </c>
      <c r="U12" s="77">
        <f>IFERROR(VLOOKUP($F12,GVA!$B$7:$S$230,GVA!P$3,FALSE),VLOOKUP($F12,GVA!$B$244:$T$554,GVA!Q$3,FALSE))</f>
        <v>24.31</v>
      </c>
      <c r="V12" s="77">
        <f>IFERROR(VLOOKUP($F12,GVA!$B$7:$S$230,GVA!Q$3,FALSE),VLOOKUP($F12,GVA!$B$244:$T$554,GVA!R$3,FALSE))</f>
        <v>24.61</v>
      </c>
      <c r="W12" s="77">
        <f>IFERROR(VLOOKUP($F12,GVA!$B$7:$S$230,GVA!R$3,FALSE),VLOOKUP($F12,GVA!$B$244:$T$554,GVA!S$3,FALSE))</f>
        <v>24.92</v>
      </c>
      <c r="X12" s="77">
        <f>IFERROR(VLOOKUP($F12,GVA!$B$7:$S$230,GVA!S$3,FALSE),VLOOKUP($F12,GVA!$B$244:$T$554,GVA!T$3,FALSE))</f>
        <v>25.15</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Mendip to Rural as a Region</v>
      </c>
      <c r="G15" s="122"/>
      <c r="H15" s="123"/>
      <c r="I15" s="74">
        <f>100*((I12-I13)/I13)</f>
        <v>-11.810131639500906</v>
      </c>
      <c r="J15" s="74">
        <f t="shared" ref="J15:X15" si="0">100*((J12-J13)/J13)</f>
        <v>-11.777592956975068</v>
      </c>
      <c r="K15" s="74">
        <f t="shared" si="0"/>
        <v>-10.796314528809328</v>
      </c>
      <c r="L15" s="74">
        <f t="shared" si="0"/>
        <v>-9.5761200897222238</v>
      </c>
      <c r="M15" s="74">
        <f t="shared" si="0"/>
        <v>-7.7762542231520433</v>
      </c>
      <c r="N15" s="74">
        <f t="shared" si="0"/>
        <v>-6.6845507101429682</v>
      </c>
      <c r="O15" s="74">
        <f t="shared" si="0"/>
        <v>-7.2513005626923963</v>
      </c>
      <c r="P15" s="74">
        <f t="shared" si="0"/>
        <v>-9.1487126308177036</v>
      </c>
      <c r="Q15" s="74">
        <f t="shared" si="0"/>
        <v>-11.533627490306205</v>
      </c>
      <c r="R15" s="74">
        <f t="shared" si="0"/>
        <v>-13.041649690485931</v>
      </c>
      <c r="S15" s="74">
        <f t="shared" si="0"/>
        <v>-13.772640887406459</v>
      </c>
      <c r="T15" s="74">
        <f t="shared" si="0"/>
        <v>-14.523523540457775</v>
      </c>
      <c r="U15" s="74">
        <f t="shared" si="0"/>
        <v>-15.698651287407461</v>
      </c>
      <c r="V15" s="74">
        <f t="shared" si="0"/>
        <v>-16.9165846110564</v>
      </c>
      <c r="W15" s="74">
        <f t="shared" si="0"/>
        <v>-17.577342116557471</v>
      </c>
      <c r="X15" s="74">
        <f t="shared" si="0"/>
        <v>-17.679469744496981</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Mendip</v>
      </c>
      <c r="G20" s="88"/>
      <c r="H20" s="89"/>
      <c r="I20" s="80">
        <f>IF(VLOOKUP($F20,PAY!$A$11:$AE$349,4,FALSE)="-",#N/A,VLOOKUP($F20,PAY!$A$11:$AE$349,4,FALSE))</f>
        <v>410.4</v>
      </c>
      <c r="J20" s="80">
        <f>IF(VLOOKUP($F20,PAY!$A$11:$AE$349,6,FALSE)="-",#N/A,VLOOKUP($F20,PAY!$A$11:$AE$349,6,FALSE))</f>
        <v>398.2</v>
      </c>
      <c r="K20" s="80">
        <f>IF(VLOOKUP($F20,PAY!$A$11:$AE$349,8,FALSE)="-",#N/A,VLOOKUP($F20,PAY!$A$11:$AE$349,8,FALSE))</f>
        <v>450.1</v>
      </c>
      <c r="L20" s="80">
        <f>IF(VLOOKUP($F20,PAY!$A$11:$AE$349,10,FALSE)="-",#N/A,VLOOKUP($F20,PAY!$A$11:$AE$349,10,FALSE))</f>
        <v>454.1</v>
      </c>
      <c r="M20" s="80">
        <f>IF(VLOOKUP($F20,PAY!$A$11:$AE$349,12,FALSE)="-",#N/A,VLOOKUP($F20,PAY!$A$11:$AE$349,12,FALSE))</f>
        <v>395.7</v>
      </c>
      <c r="N20" s="80">
        <f>IF(VLOOKUP($F20,PAY!$A$11:$AE$349,14,FALSE)="-",#N/A,VLOOKUP($F20,PAY!$A$11:$AE$349,14,FALSE))</f>
        <v>442.1</v>
      </c>
      <c r="O20" s="80">
        <f>IF(VLOOKUP($F20,PAY!$A$11:$AE$349,16,FALSE)="-",#N/A,VLOOKUP($F20,PAY!$A$11:$AE$349,16,FALSE))</f>
        <v>428.6</v>
      </c>
      <c r="P20" s="80">
        <f>IF(VLOOKUP($F20,PAY!$A$11:$AE$349,18,FALSE)="-",#N/A,VLOOKUP($F20,PAY!$A$11:$AE$349,18,FALSE))</f>
        <v>433.6</v>
      </c>
      <c r="Q20" s="80">
        <f>IF(VLOOKUP($F20,PAY!$A$11:$AE$349,20,FALSE)="-",#N/A,VLOOKUP($F20,PAY!$A$11:$AE$349,20,FALSE))</f>
        <v>410.7</v>
      </c>
      <c r="R20" s="80">
        <f>IF(VLOOKUP($F20,PAY!$A$11:$AE$349,22,FALSE)="-",#N/A,VLOOKUP($F20,PAY!$A$11:$AE$349,22,FALSE))</f>
        <v>457.1</v>
      </c>
      <c r="S20" s="80">
        <f>IF(VLOOKUP($F20,PAY!$A$11:$AE$349,24,FALSE)="-",#N/A,VLOOKUP($F20,PAY!$A$11:$AE$349,24,FALSE))</f>
        <v>439.8</v>
      </c>
      <c r="T20" s="80">
        <f>IF(VLOOKUP($F20,PAY!$A$11:$AE$349,26,FALSE)="-",#N/A,VLOOKUP($F20,PAY!$A$11:$AE$349,26,FALSE))</f>
        <v>462</v>
      </c>
      <c r="U20" s="80">
        <f>IF(VLOOKUP($F20,PAY!$A$11:$AE$349,28,FALSE)="-",#N/A,VLOOKUP($F20,PAY!$A$11:$AE$349,28,FALSE))</f>
        <v>516.9</v>
      </c>
      <c r="V20" s="80">
        <f>IF(VLOOKUP($F20,PAY!$A$11:$AE$349,30,FALSE)="-",#N/A,VLOOKUP($F20,PAY!$A$11:$AE$349,30,FALSE))</f>
        <v>539.70000000000005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Mendip to Rural as a Region</v>
      </c>
      <c r="G23" s="122"/>
      <c r="H23" s="123"/>
      <c r="I23" s="74">
        <f>100*((I20-I21)/I21)</f>
        <v>-5.2177370316665925</v>
      </c>
      <c r="J23" s="74">
        <f t="shared" ref="J23:V23" si="2">100*((J20-J21)/J21)</f>
        <v>-8.8630771871602736</v>
      </c>
      <c r="K23" s="74">
        <f t="shared" si="2"/>
        <v>0.44349154964984727</v>
      </c>
      <c r="L23" s="74">
        <f t="shared" si="2"/>
        <v>0.76485326502182083</v>
      </c>
      <c r="M23" s="74">
        <f t="shared" si="2"/>
        <v>-13.079395621201098</v>
      </c>
      <c r="N23" s="74">
        <f t="shared" si="2"/>
        <v>-4.5495291140347458</v>
      </c>
      <c r="O23" s="74">
        <f t="shared" si="2"/>
        <v>-8.9639559706829637</v>
      </c>
      <c r="P23" s="74">
        <f t="shared" si="2"/>
        <v>-8.681476584139542</v>
      </c>
      <c r="Q23" s="74">
        <f t="shared" si="2"/>
        <v>-16.09502160639892</v>
      </c>
      <c r="R23" s="74">
        <f t="shared" si="2"/>
        <v>-9.315804673472174</v>
      </c>
      <c r="S23" s="74">
        <f t="shared" si="2"/>
        <v>-14.506589162907236</v>
      </c>
      <c r="T23" s="74">
        <f t="shared" si="2"/>
        <v>-13.434320677571387</v>
      </c>
      <c r="U23" s="74">
        <f t="shared" si="2"/>
        <v>-2.6642012841163991</v>
      </c>
      <c r="V23" s="74">
        <f t="shared" si="2"/>
        <v>-4.3516231041720728</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Mendip</v>
      </c>
      <c r="G28" s="88"/>
      <c r="H28" s="89"/>
      <c r="I28" s="76">
        <f>VLOOKUP($F28,EMPLOYMENT!$A$6:$BW$345,6,FALSE)</f>
        <v>77.2</v>
      </c>
      <c r="J28" s="77">
        <f>VLOOKUP($F28,EMPLOYMENT!$A$6:$BW$345,10,FALSE)</f>
        <v>76.2</v>
      </c>
      <c r="K28" s="77">
        <f>VLOOKUP($F28,EMPLOYMENT!$A$6:$BW$345,14,FALSE)</f>
        <v>75.5</v>
      </c>
      <c r="L28" s="77">
        <f>VLOOKUP($F28,EMPLOYMENT!$A$6:$BW$345,18,FALSE)</f>
        <v>81</v>
      </c>
      <c r="M28" s="77">
        <f>VLOOKUP($F28,EMPLOYMENT!$A$6:$BW$345,22,FALSE)</f>
        <v>78.7</v>
      </c>
      <c r="N28" s="77">
        <f>VLOOKUP($F28,EMPLOYMENT!$A$6:$BW$345,26,FALSE)</f>
        <v>73.599999999999994</v>
      </c>
      <c r="O28" s="77">
        <f>VLOOKUP($F28,EMPLOYMENT!$A$6:$BW$345,30,FALSE)</f>
        <v>79.099999999999994</v>
      </c>
      <c r="P28" s="77">
        <f>VLOOKUP($F28,EMPLOYMENT!$A$6:$BW$345,34,FALSE)</f>
        <v>75.7</v>
      </c>
      <c r="Q28" s="77">
        <f>VLOOKUP($F28,EMPLOYMENT!$A$6:$BW$345,38,FALSE)</f>
        <v>76.7</v>
      </c>
      <c r="R28" s="77">
        <f>VLOOKUP($F28,EMPLOYMENT!$A$6:$BW$345,42,FALSE)</f>
        <v>71.5</v>
      </c>
      <c r="S28" s="77">
        <f>VLOOKUP($F28,EMPLOYMENT!$A$6:$BW$345,46,FALSE)</f>
        <v>76.400000000000006</v>
      </c>
      <c r="T28" s="77">
        <f>VLOOKUP($F28,EMPLOYMENT!$A$6:$BW$345,50,FALSE)</f>
        <v>75.8</v>
      </c>
      <c r="U28" s="77">
        <f>VLOOKUP($F28,EMPLOYMENT!$A$6:$BW$345,54,FALSE)</f>
        <v>73.099999999999994</v>
      </c>
      <c r="V28" s="77">
        <f>VLOOKUP($F28,EMPLOYMENT!$A$6:$BW$345,58,FALSE)</f>
        <v>71.5</v>
      </c>
      <c r="W28" s="77">
        <f>VLOOKUP($F28,EMPLOYMENT!$A$6:$BW$345,62,FALSE)</f>
        <v>77.3</v>
      </c>
      <c r="X28" s="77">
        <f>VLOOKUP($F28,EMPLOYMENT!$A$6:$BW$345,66,FALSE)</f>
        <v>84.4</v>
      </c>
      <c r="Y28" s="77">
        <f>VLOOKUP($F28,EMPLOYMENT!$A$6:$BW$345,70,FALSE)</f>
        <v>81.599999999999994</v>
      </c>
      <c r="Z28" s="77">
        <f>VLOOKUP($F28,EMPLOYMENT!$A$6:$BW$345,74,FALSE)</f>
        <v>79.400000000000006</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Mendip to Rural as a Region</v>
      </c>
      <c r="G31" s="122"/>
      <c r="H31" s="123"/>
      <c r="I31" s="74">
        <f>(I28-I29)</f>
        <v>1.0886580805982646</v>
      </c>
      <c r="J31" s="74">
        <f t="shared" ref="J31:Z31" si="4">(J28-J29)</f>
        <v>-0.11297546668295411</v>
      </c>
      <c r="K31" s="74">
        <f t="shared" si="4"/>
        <v>-0.37318889948676315</v>
      </c>
      <c r="L31" s="74">
        <f t="shared" si="4"/>
        <v>5.3595316973721623</v>
      </c>
      <c r="M31" s="74">
        <f t="shared" si="4"/>
        <v>2.9644756266682606</v>
      </c>
      <c r="N31" s="74">
        <f t="shared" si="4"/>
        <v>-0.9095398428731869</v>
      </c>
      <c r="O31" s="74">
        <f t="shared" si="4"/>
        <v>5.5528668610301253</v>
      </c>
      <c r="P31" s="74">
        <f t="shared" si="4"/>
        <v>1.9657045967223894</v>
      </c>
      <c r="Q31" s="74">
        <f t="shared" si="4"/>
        <v>2.6668425245374294</v>
      </c>
      <c r="R31" s="74">
        <f t="shared" si="4"/>
        <v>-3.2444749299002069</v>
      </c>
      <c r="S31" s="74">
        <f t="shared" si="4"/>
        <v>0.29113965992439717</v>
      </c>
      <c r="T31" s="74">
        <f t="shared" si="4"/>
        <v>-1.3905319756090222</v>
      </c>
      <c r="U31" s="74">
        <f t="shared" si="4"/>
        <v>-3.8716324817080476</v>
      </c>
      <c r="V31" s="74">
        <f t="shared" si="4"/>
        <v>-6.5327868852458977</v>
      </c>
      <c r="W31" s="74">
        <f t="shared" si="4"/>
        <v>-0.74815689341414782</v>
      </c>
      <c r="X31" s="74">
        <f t="shared" si="4"/>
        <v>5.8087006210433003</v>
      </c>
      <c r="Y31" s="74">
        <f t="shared" si="4"/>
        <v>4.5856537038707899</v>
      </c>
      <c r="Z31" s="74">
        <f t="shared" si="4"/>
        <v>3.2442419221209633</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Mendip</v>
      </c>
      <c r="G36" s="88" t="str">
        <f>IFERROR(VLOOKUP(F36,GDHI!B338:C574,2,FALSE),VLOOKUP(F36,GDHI!C3:C336,1,FALSE))</f>
        <v>Mendip</v>
      </c>
      <c r="H36" s="89" t="str">
        <f>IF(F36=G36,"",G36)</f>
        <v/>
      </c>
      <c r="I36" s="83">
        <f>IFERROR(VLOOKUP($F36,GDHI!$B$338:$U$574,GDHI!G$578,FALSE),VLOOKUP($F36,GDHI!$C$3:$U$336,GDHI!F$578,FALSE))</f>
        <v>14353</v>
      </c>
      <c r="J36" s="84">
        <f>IFERROR(VLOOKUP($F36,GDHI!$B$338:$U$574,GDHI!H$578,FALSE),VLOOKUP($F36,GDHI!$C$3:$U$336,GDHI!G$578,FALSE))</f>
        <v>14935</v>
      </c>
      <c r="K36" s="84">
        <f>IFERROR(VLOOKUP($F36,GDHI!$B$338:$U$574,GDHI!I$578,FALSE),VLOOKUP($F36,GDHI!$C$3:$U$336,GDHI!H$578,FALSE))</f>
        <v>15748</v>
      </c>
      <c r="L36" s="84">
        <f>IFERROR(VLOOKUP($F36,GDHI!$B$338:$U$574,GDHI!J$578,FALSE),VLOOKUP($F36,GDHI!$C$3:$U$336,GDHI!I$578,FALSE))</f>
        <v>16372</v>
      </c>
      <c r="M36" s="84">
        <f>IFERROR(VLOOKUP($F36,GDHI!$B$338:$U$574,GDHI!K$578,FALSE),VLOOKUP($F36,GDHI!$C$3:$U$336,GDHI!J$578,FALSE))</f>
        <v>16928</v>
      </c>
      <c r="N36" s="84">
        <f>IFERROR(VLOOKUP($F36,GDHI!$B$338:$U$574,GDHI!L$578,FALSE),VLOOKUP($F36,GDHI!$C$3:$U$336,GDHI!K$578,FALSE))</f>
        <v>16825</v>
      </c>
      <c r="O36" s="84">
        <f>IFERROR(VLOOKUP($F36,GDHI!$B$338:$U$574,GDHI!M$578,FALSE),VLOOKUP($F36,GDHI!$C$3:$U$336,GDHI!L$578,FALSE))</f>
        <v>17449</v>
      </c>
      <c r="P36" s="84">
        <f>IFERROR(VLOOKUP($F36,GDHI!$B$338:$U$574,GDHI!N$578,FALSE),VLOOKUP($F36,GDHI!$C$3:$U$336,GDHI!M$578,FALSE))</f>
        <v>17825</v>
      </c>
      <c r="Q36" s="84">
        <f>IFERROR(VLOOKUP($F36,GDHI!$B$338:$U$574,GDHI!O$578,FALSE),VLOOKUP($F36,GDHI!$C$3:$U$336,GDHI!N$578,FALSE))</f>
        <v>18093</v>
      </c>
      <c r="R36" s="84">
        <f>IFERROR(VLOOKUP($F36,GDHI!$B$338:$U$574,GDHI!P$578,FALSE),VLOOKUP($F36,GDHI!$C$3:$U$336,GDHI!O$578,FALSE))</f>
        <v>18561</v>
      </c>
      <c r="S36" s="84">
        <f>IFERROR(VLOOKUP($F36,GDHI!$B$338:$U$574,GDHI!Q$578,FALSE),VLOOKUP($F36,GDHI!$C$3:$U$336,GDHI!P$578,FALSE))</f>
        <v>19319</v>
      </c>
      <c r="T36" s="84">
        <f>IFERROR(VLOOKUP($F36,GDHI!$B$338:$U$574,GDHI!R$578,FALSE),VLOOKUP($F36,GDHI!$C$3:$U$336,GDHI!Q$578,FALSE))</f>
        <v>20149</v>
      </c>
      <c r="U36" s="84">
        <f>IFERROR(VLOOKUP($F36,GDHI!$B$338:$U$574,GDHI!S$578,FALSE),VLOOKUP($F36,GDHI!$C$3:$U$336,GDHI!R$578,FALSE))</f>
        <v>20298</v>
      </c>
      <c r="V36" s="84">
        <f>IFERROR(VLOOKUP($F36,GDHI!$B$338:$U$574,GDHI!T$578,FALSE),VLOOKUP($F36,GDHI!$C$3:$U$336,GDHI!S$578,FALSE))</f>
        <v>20729</v>
      </c>
      <c r="W36" s="84">
        <f>IFERROR(VLOOKUP($F36,GDHI!$B$338:$U$574,GDHI!U$578,FALSE),VLOOKUP($F36,GDHI!$C$3:$U$336,GDHI!T$578,FALSE))</f>
        <v>21652</v>
      </c>
      <c r="X36" s="84">
        <f>IFERROR(VLOOKUP($F36,GDHI!$B$338:$U$574,GDHI!V$578,FALSE),VLOOKUP($F36,GDHI!$C$3:$U$336,GDHI!U$578,FALSE))</f>
        <v>22146</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Mendip to Rural as a Region</v>
      </c>
      <c r="G39" s="122"/>
      <c r="H39" s="123"/>
      <c r="I39" s="74">
        <f>100*((I36-I37)/I37)</f>
        <v>-2.4236037934668069</v>
      </c>
      <c r="J39" s="74">
        <f t="shared" ref="J39:X39" si="6">100*((J36-J37)/J37)</f>
        <v>-2.6492980031520657</v>
      </c>
      <c r="K39" s="74">
        <f t="shared" si="6"/>
        <v>-1.1063589285834385</v>
      </c>
      <c r="L39" s="74">
        <f t="shared" si="6"/>
        <v>-1.1840684272131019</v>
      </c>
      <c r="M39" s="74">
        <f t="shared" si="6"/>
        <v>-0.79333130076053027</v>
      </c>
      <c r="N39" s="74">
        <f t="shared" si="6"/>
        <v>-2.7058284943257185</v>
      </c>
      <c r="O39" s="74">
        <f t="shared" si="6"/>
        <v>-0.33651443394655489</v>
      </c>
      <c r="P39" s="74">
        <f t="shared" si="6"/>
        <v>0.14018154044532105</v>
      </c>
      <c r="Q39" s="74">
        <f t="shared" si="6"/>
        <v>-1.4883579837357819</v>
      </c>
      <c r="R39" s="74">
        <f t="shared" si="6"/>
        <v>-1.6580558605938822</v>
      </c>
      <c r="S39" s="74">
        <f t="shared" si="6"/>
        <v>-0.39717247081049067</v>
      </c>
      <c r="T39" s="74">
        <f t="shared" si="6"/>
        <v>-1.5121309140169676</v>
      </c>
      <c r="U39" s="74">
        <f t="shared" si="6"/>
        <v>-1.5850001038965902</v>
      </c>
      <c r="V39" s="74">
        <f t="shared" si="6"/>
        <v>-1.12798754869823</v>
      </c>
      <c r="W39" s="74">
        <f t="shared" si="6"/>
        <v>-0.8693434086328331</v>
      </c>
      <c r="X39" s="74">
        <f t="shared" si="6"/>
        <v>-0.5350561496168279</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Mendip</v>
      </c>
      <c r="G44" s="88"/>
      <c r="H44" s="89"/>
      <c r="I44" s="76">
        <f>VLOOKUP($F44,'LOW PAID'!$A$9:$N$444,6,FALSE)</f>
        <v>28.1</v>
      </c>
      <c r="J44" s="77">
        <f>VLOOKUP($F44,'LOW PAID'!$P$9:$W$444,6,FALSE)</f>
        <v>32.4</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Mendip to Rural as a Region</v>
      </c>
      <c r="G47" s="122"/>
      <c r="H47" s="123"/>
      <c r="I47" s="74">
        <f>(I44-I45)</f>
        <v>2.9061253217868845</v>
      </c>
      <c r="J47" s="74">
        <f>(J44-J45)</f>
        <v>6.7138834909699447</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Mendip</v>
      </c>
      <c r="G52" s="88"/>
      <c r="H52" s="89"/>
      <c r="I52" s="76">
        <f>VLOOKUP($F52,INACTIVITY!$A$6:$BW$345,6,FALSE)</f>
        <v>21.3</v>
      </c>
      <c r="J52" s="77">
        <f>VLOOKUP($F52,INACTIVITY!$A$6:$BW$345,10,FALSE)</f>
        <v>21.3</v>
      </c>
      <c r="K52" s="77">
        <f>VLOOKUP($F52,INACTIVITY!$A$6:$BW$345,14,FALSE)</f>
        <v>21.8</v>
      </c>
      <c r="L52" s="77">
        <f>VLOOKUP($F52,INACTIVITY!$A$6:$BW$345,18,FALSE)</f>
        <v>14.8</v>
      </c>
      <c r="M52" s="77">
        <f>VLOOKUP($F52,INACTIVITY!$A$6:$BW$345,22,FALSE)</f>
        <v>19.7</v>
      </c>
      <c r="N52" s="77">
        <f>VLOOKUP($F52,INACTIVITY!$A$6:$BW$345,26,FALSE)</f>
        <v>22.9</v>
      </c>
      <c r="O52" s="77">
        <f>VLOOKUP($F52,INACTIVITY!$A$6:$BW$345,30,FALSE)</f>
        <v>15.3</v>
      </c>
      <c r="P52" s="77">
        <f>VLOOKUP($F52,INACTIVITY!$A$6:$BW$345,34,FALSE)</f>
        <v>21</v>
      </c>
      <c r="Q52" s="77">
        <f>VLOOKUP($F52,INACTIVITY!$A$6:$BW$345,38,FALSE)</f>
        <v>20.2</v>
      </c>
      <c r="R52" s="77">
        <f>VLOOKUP($F52,INACTIVITY!$A$6:$BW$345,42,FALSE)</f>
        <v>24.6</v>
      </c>
      <c r="S52" s="77">
        <f>VLOOKUP($F52,INACTIVITY!$A$6:$BW$345,46,FALSE)</f>
        <v>20.3</v>
      </c>
      <c r="T52" s="77">
        <f>VLOOKUP($F52,INACTIVITY!$A$6:$BW$345,50,FALSE)</f>
        <v>21.4</v>
      </c>
      <c r="U52" s="77">
        <f>VLOOKUP($F52,INACTIVITY!$A$6:$BW$345,54,FALSE)</f>
        <v>23</v>
      </c>
      <c r="V52" s="77">
        <f>VLOOKUP($F52,INACTIVITY!$A$6:$BW$345,58,FALSE)</f>
        <v>24.4</v>
      </c>
      <c r="W52" s="77">
        <f>VLOOKUP($F52,INACTIVITY!$A$6:$BW$345,62,FALSE)</f>
        <v>15.6</v>
      </c>
      <c r="X52" s="77">
        <f>VLOOKUP($F52,INACTIVITY!$A$6:$BW$345,66,FALSE)</f>
        <v>14.9</v>
      </c>
      <c r="Y52" s="77">
        <f>VLOOKUP($F52,INACTIVITY!$A$6:$BW$345,70,FALSE)</f>
        <v>14.1</v>
      </c>
      <c r="Z52" s="77">
        <f>VLOOKUP($F52,INACTIVITY!$A$6:$BW$345,74,FALSE)</f>
        <v>17.8</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Mendip to Rural as a Region</v>
      </c>
      <c r="G55" s="122"/>
      <c r="H55" s="123"/>
      <c r="I55" s="74">
        <f>(I52-I53)</f>
        <v>-9.564457161023654E-2</v>
      </c>
      <c r="J55" s="74">
        <f t="shared" ref="J55:Z55" si="10">(J52-J53)</f>
        <v>0.29147727272727408</v>
      </c>
      <c r="K55" s="74">
        <f t="shared" si="10"/>
        <v>0.93753460654122378</v>
      </c>
      <c r="L55" s="74">
        <f t="shared" si="10"/>
        <v>-6.5140653315366386</v>
      </c>
      <c r="M55" s="74">
        <f t="shared" si="10"/>
        <v>-1.1350023108920055</v>
      </c>
      <c r="N55" s="74">
        <f t="shared" si="10"/>
        <v>1.9668562420795581</v>
      </c>
      <c r="O55" s="74">
        <f t="shared" si="10"/>
        <v>-6.3919371275051731</v>
      </c>
      <c r="P55" s="74">
        <f t="shared" si="10"/>
        <v>-0.49424578075344883</v>
      </c>
      <c r="Q55" s="74">
        <f t="shared" si="10"/>
        <v>-0.98254879448909449</v>
      </c>
      <c r="R55" s="74">
        <f t="shared" si="10"/>
        <v>3.8254069025612303</v>
      </c>
      <c r="S55" s="74">
        <f t="shared" si="10"/>
        <v>2.6789544027600698E-2</v>
      </c>
      <c r="T55" s="74">
        <f t="shared" si="10"/>
        <v>1.7038053165930407</v>
      </c>
      <c r="U55" s="74">
        <f t="shared" si="10"/>
        <v>3.1475706529305292</v>
      </c>
      <c r="V55" s="74">
        <f t="shared" si="10"/>
        <v>5.1467226657196221</v>
      </c>
      <c r="W55" s="74">
        <f t="shared" si="10"/>
        <v>-3.5769560091828492</v>
      </c>
      <c r="X55" s="74">
        <f t="shared" si="10"/>
        <v>-3.9520649493649298</v>
      </c>
      <c r="Y55" s="74">
        <f t="shared" si="10"/>
        <v>-5.6725827218714624</v>
      </c>
      <c r="Z55" s="74">
        <f t="shared" si="10"/>
        <v>-3.2851797756300698</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Mendip</v>
      </c>
      <c r="G60" s="88"/>
      <c r="H60" s="89"/>
      <c r="I60" s="76">
        <f>VLOOKUP($F60,DISABILITY!$A$718:$I$1052,DISABILITY!B$1053,FALSE)</f>
        <v>23</v>
      </c>
      <c r="J60" s="77">
        <f>VLOOKUP($F60,DISABILITY!$A$718:$I$1052,DISABILITY!C$1053,FALSE)</f>
        <v>12.700000000000003</v>
      </c>
      <c r="K60" s="77">
        <f>VLOOKUP($F60,DISABILITY!$A$718:$I$1052,DISABILITY!D$1053,FALSE)</f>
        <v>21.900000000000006</v>
      </c>
      <c r="L60" s="77">
        <f>VLOOKUP($F60,DISABILITY!$A$718:$I$1052,DISABILITY!E$1053,FALSE)</f>
        <v>37.199999999999996</v>
      </c>
      <c r="M60" s="77">
        <f>VLOOKUP($F60,DISABILITY!$A$718:$I$1052,DISABILITY!F$1053,FALSE)</f>
        <v>31.6</v>
      </c>
      <c r="N60" s="77">
        <f>VLOOKUP($F60,DISABILITY!$A$718:$I$1052,DISABILITY!G$1053,FALSE)</f>
        <v>21.299999999999997</v>
      </c>
      <c r="O60" s="77">
        <f>VLOOKUP($F60,DISABILITY!$A$718:$I$1052,DISABILITY!H$1053,FALSE)</f>
        <v>19.099999999999994</v>
      </c>
      <c r="P60" s="77">
        <f>VLOOKUP($F60,DISABILITY!$A$718:$I$1052,DISABILITY!I$1053,FALSE)</f>
        <v>32.399999999999991</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Mendip to Rural as a Region</v>
      </c>
      <c r="G63" s="122"/>
      <c r="H63" s="123"/>
      <c r="I63" s="74">
        <f>(I60-I61)</f>
        <v>-4.4201565406472483</v>
      </c>
      <c r="J63" s="74">
        <f t="shared" ref="J63:P63" si="12">(J60-J61)</f>
        <v>-14.619044407051184</v>
      </c>
      <c r="K63" s="74">
        <f t="shared" si="12"/>
        <v>-6.2191283614981998</v>
      </c>
      <c r="L63" s="74">
        <f t="shared" si="12"/>
        <v>11.20906546100332</v>
      </c>
      <c r="M63" s="74">
        <f t="shared" si="12"/>
        <v>6.1247741813338834</v>
      </c>
      <c r="N63" s="74">
        <f t="shared" si="12"/>
        <v>-4.2312476854419856</v>
      </c>
      <c r="O63" s="74">
        <f t="shared" si="12"/>
        <v>-4.6972222879969507</v>
      </c>
      <c r="P63" s="74">
        <f t="shared" si="12"/>
        <v>7.0458220696578167</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Mendip</v>
      </c>
      <c r="G68" s="88"/>
      <c r="H68" s="89"/>
      <c r="I68" s="76">
        <f>VLOOKUP($F68,'WORKLESS HOUSEHOLDS'!$DW$4:$EC$397,7,FALSE)</f>
        <v>9.0135896847445931</v>
      </c>
      <c r="J68" s="77">
        <f>VLOOKUP($F68,'WORKLESS HOUSEHOLDS'!$DN$4:$DT$397,7,FALSE)</f>
        <v>6.346752774454635</v>
      </c>
      <c r="K68" s="77">
        <f>VLOOKUP($F68,'WORKLESS HOUSEHOLDS'!$DE$4:$DK$397,7,FALSE)</f>
        <v>3.9172294997919987</v>
      </c>
      <c r="L68" s="77">
        <f>VLOOKUP($F68,'WORKLESS HOUSEHOLDS'!$CV$4:$DB$397,7,FALSE)</f>
        <v>3.0427892403785886</v>
      </c>
      <c r="M68" s="77">
        <f>VLOOKUP($F68,'WORKLESS HOUSEHOLDS'!$CM$4:$CS$397,7,FALSE)</f>
        <v>6.2011265860373737</v>
      </c>
      <c r="N68" s="77">
        <f>VLOOKUP($F68,'WORKLESS HOUSEHOLDS'!$CD$4:$CJ$397,7,FALSE)</f>
        <v>11.831751633363536</v>
      </c>
      <c r="O68" s="77">
        <f>VLOOKUP($F68,'WORKLESS HOUSEHOLDS'!$BU$4:$CA$397,7,FALSE)</f>
        <v>6.6558208526723766</v>
      </c>
      <c r="P68" s="77">
        <f>VLOOKUP($F68,'WORKLESS HOUSEHOLDS'!$BL$4:$BR$397,7,FALSE)</f>
        <v>12.376193845065441</v>
      </c>
      <c r="Q68" s="77" t="str">
        <f>VLOOKUP($F68,'WORKLESS HOUSEHOLDS'!$BC$4:$BI$397,7,FALSE)</f>
        <v>#</v>
      </c>
      <c r="R68" s="77" t="str">
        <f>VLOOKUP($F68,'WORKLESS HOUSEHOLDS'!$AT$4:$AZ$397,7,FALSE)</f>
        <v>#</v>
      </c>
      <c r="S68" s="77" t="str">
        <f>VLOOKUP($F68,'WORKLESS HOUSEHOLDS'!$AK$4:$AQ$397,7,FALSE)</f>
        <v>#</v>
      </c>
      <c r="T68" s="77">
        <f>VLOOKUP($F68,'WORKLESS HOUSEHOLDS'!$AB$4:$AH$397,7,FALSE)</f>
        <v>9.8109756097560972</v>
      </c>
      <c r="U68" s="77">
        <f>VLOOKUP($F68,'WORKLESS HOUSEHOLDS'!$S$4:$Y$397,7,FALSE)</f>
        <v>6.1834605871599102</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Mendip to Rural as a Region</v>
      </c>
      <c r="G71" s="122"/>
      <c r="H71" s="123"/>
      <c r="I71" s="74">
        <f>(I68-I69)</f>
        <v>-0.99835617784209774</v>
      </c>
      <c r="J71" s="74">
        <f t="shared" ref="J71:W71" si="14">(J68-J69)</f>
        <v>-4.5644020630203892</v>
      </c>
      <c r="K71" s="74">
        <f t="shared" si="14"/>
        <v>-6.3760162293638452</v>
      </c>
      <c r="L71" s="74">
        <f t="shared" si="14"/>
        <v>-7.9232174209511435</v>
      </c>
      <c r="M71" s="74">
        <f t="shared" si="14"/>
        <v>-5.4926525951510996</v>
      </c>
      <c r="N71" s="74">
        <f t="shared" si="14"/>
        <v>-6.9348045891844734E-2</v>
      </c>
      <c r="O71" s="74">
        <f t="shared" si="14"/>
        <v>-4.3794323950701353</v>
      </c>
      <c r="P71" s="74">
        <f t="shared" si="14"/>
        <v>2.6846959592976027</v>
      </c>
      <c r="Q71" s="74" t="e">
        <f t="shared" si="14"/>
        <v>#VALUE!</v>
      </c>
      <c r="R71" s="74" t="e">
        <f t="shared" si="14"/>
        <v>#VALUE!</v>
      </c>
      <c r="S71" s="74" t="e">
        <f t="shared" si="14"/>
        <v>#VALUE!</v>
      </c>
      <c r="T71" s="74">
        <f t="shared" si="14"/>
        <v>-9.2692584876653328E-2</v>
      </c>
      <c r="U71" s="74">
        <f t="shared" si="14"/>
        <v>-4.5785895775195655</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Mendip</v>
      </c>
      <c r="G76" s="88"/>
      <c r="H76" s="89"/>
      <c r="I76" s="76">
        <f>VLOOKUP($F76,'SKILLED EMPLOYMENT'!$A$1506:$BW$1841,6,FALSE)</f>
        <v>52.400000000000006</v>
      </c>
      <c r="J76" s="77">
        <f>VLOOKUP($F76,'SKILLED EMPLOYMENT'!$A$1506:$BW$1841,10,FALSE)</f>
        <v>52.400000000000006</v>
      </c>
      <c r="K76" s="77">
        <f>VLOOKUP($F76,'SKILLED EMPLOYMENT'!$A$1506:$BW$1841,14,FALSE)</f>
        <v>53.199999999999996</v>
      </c>
      <c r="L76" s="77">
        <f>VLOOKUP($F76,'SKILLED EMPLOYMENT'!$A$1506:$BW$1841,18,FALSE)</f>
        <v>48.8</v>
      </c>
      <c r="M76" s="77">
        <f>VLOOKUP($F76,'SKILLED EMPLOYMENT'!$A$1506:$BW$1841,22,FALSE)</f>
        <v>52.8</v>
      </c>
      <c r="N76" s="77">
        <f>VLOOKUP($F76,'SKILLED EMPLOYMENT'!$A$1506:$BW$1841,26,FALSE)</f>
        <v>47</v>
      </c>
      <c r="O76" s="77">
        <f>VLOOKUP($F76,'SKILLED EMPLOYMENT'!$A$1506:$BW$1841,30,FALSE)</f>
        <v>53.5</v>
      </c>
      <c r="P76" s="77">
        <f>VLOOKUP($F76,'SKILLED EMPLOYMENT'!$A$1506:$BW$1841,34,FALSE)</f>
        <v>50</v>
      </c>
      <c r="Q76" s="77">
        <f>VLOOKUP($F76,'SKILLED EMPLOYMENT'!$A$1506:$BW$1841,38,FALSE)</f>
        <v>54.2</v>
      </c>
      <c r="R76" s="77">
        <f>VLOOKUP($F76,'SKILLED EMPLOYMENT'!$A$1506:$BW$1841,42,FALSE)</f>
        <v>50.2</v>
      </c>
      <c r="S76" s="77">
        <f>VLOOKUP($F76,'SKILLED EMPLOYMENT'!$A$1506:$BW$1841,46,FALSE)</f>
        <v>60.800000000000004</v>
      </c>
      <c r="T76" s="77">
        <f>VLOOKUP($F76,'SKILLED EMPLOYMENT'!$A$1506:$BW$1841,50,FALSE)</f>
        <v>61</v>
      </c>
      <c r="U76" s="77">
        <f>VLOOKUP($F76,'SKILLED EMPLOYMENT'!$A$1506:$BW$1841,54,FALSE)</f>
        <v>60.1</v>
      </c>
      <c r="V76" s="77">
        <f>VLOOKUP($F76,'SKILLED EMPLOYMENT'!$A$1506:$BW$1841,58,FALSE)</f>
        <v>55</v>
      </c>
      <c r="W76" s="77">
        <f>VLOOKUP($F76,'SKILLED EMPLOYMENT'!$A$1506:$BW$1841,62,FALSE)</f>
        <v>58</v>
      </c>
      <c r="X76" s="77">
        <f>VLOOKUP($F76,'SKILLED EMPLOYMENT'!$A$1506:$BW$1841,66,FALSE)</f>
        <v>51.300000000000004</v>
      </c>
      <c r="Y76" s="77">
        <f>VLOOKUP($F76,'SKILLED EMPLOYMENT'!$A$1506:$BW$1841,70,FALSE)</f>
        <v>55.4</v>
      </c>
      <c r="Z76" s="77">
        <f>VLOOKUP($F76,'SKILLED EMPLOYMENT'!$A$1506:$BW$1841,74,FALSE)</f>
        <v>57.1</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Mendip to Rural as a Region</v>
      </c>
      <c r="G79" s="122"/>
      <c r="H79" s="123"/>
      <c r="I79" s="74">
        <f>(I76-I77)</f>
        <v>-0.29999999999999716</v>
      </c>
      <c r="J79" s="74">
        <f t="shared" ref="J79:Z79" si="17">(J76-J77)</f>
        <v>-0.49999999999999289</v>
      </c>
      <c r="K79" s="74">
        <f t="shared" si="17"/>
        <v>-0.30000000000000426</v>
      </c>
      <c r="L79" s="74">
        <f t="shared" si="17"/>
        <v>-5.2000000000000028</v>
      </c>
      <c r="M79" s="74">
        <f t="shared" si="17"/>
        <v>-1.3000000000000043</v>
      </c>
      <c r="N79" s="74">
        <f t="shared" si="17"/>
        <v>-7.3999999999999986</v>
      </c>
      <c r="O79" s="74">
        <f t="shared" si="17"/>
        <v>-1.8999999999999986</v>
      </c>
      <c r="P79" s="74">
        <f t="shared" si="17"/>
        <v>-5.6000000000000014</v>
      </c>
      <c r="Q79" s="74">
        <f t="shared" si="17"/>
        <v>-1.1999999999999957</v>
      </c>
      <c r="R79" s="74">
        <f t="shared" si="17"/>
        <v>-6</v>
      </c>
      <c r="S79" s="74">
        <f t="shared" si="17"/>
        <v>4.6000000000000014</v>
      </c>
      <c r="T79" s="74">
        <f t="shared" si="17"/>
        <v>4.2000000000000028</v>
      </c>
      <c r="U79" s="74">
        <f t="shared" si="17"/>
        <v>3.5</v>
      </c>
      <c r="V79" s="74">
        <f t="shared" si="17"/>
        <v>-2.1000000000000014</v>
      </c>
      <c r="W79" s="74">
        <f t="shared" si="17"/>
        <v>0.20000000000000284</v>
      </c>
      <c r="X79" s="74">
        <f t="shared" si="17"/>
        <v>-7.4999999999999929</v>
      </c>
      <c r="Y79" s="74">
        <f t="shared" si="17"/>
        <v>-3.3000000000000043</v>
      </c>
      <c r="Z79" s="74">
        <f t="shared" si="17"/>
        <v>-1.2999999999999972</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jC0YDGYLiM9zhRTISH9aYip+OE+HI15UBTyNbwWx6u+IwVQAR5vZD5Ha0jPVsWhevbtplUA8pSYoW3klNWQZnQ==" saltValue="eq9PS3UEloFQ7d4D03VvbA=="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2022-08-02T11:30:18Z</dcterms:modified>
</cp:coreProperties>
</file>