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2" documentId="8_{A47AE377-8AF7-4A54-95DA-D165701DDE7B}" xr6:coauthVersionLast="47" xr6:coauthVersionMax="47" xr10:uidLastSave="{565BC8B7-A3B2-4B66-BDFF-1EED27679810}"/>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<sst xmlns="http://schemas.openxmlformats.org/spreadsheetml/2006/main" count="32859" uniqueCount="1676">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</sst>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Mid 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18.41</c:v>
                </c:pt>
                <c:pt idx="1">
                  <c:v>18.440000000000001</c:v>
                </c:pt>
                <c:pt idx="2">
                  <c:v>19.64</c:v>
                </c:pt>
                <c:pt idx="3">
                  <c:v>20.39</c:v>
                </c:pt>
                <c:pt idx="4">
                  <c:v>20.95</c:v>
                </c:pt>
                <c:pt idx="5">
                  <c:v>20.79</c:v>
                </c:pt>
                <c:pt idx="6">
                  <c:v>20.89</c:v>
                </c:pt>
                <c:pt idx="7">
                  <c:v>20.95</c:v>
                </c:pt>
                <c:pt idx="8">
                  <c:v>21.28</c:v>
                </c:pt>
                <c:pt idx="9">
                  <c:v>21.38</c:v>
                </c:pt>
                <c:pt idx="10">
                  <c:v>21.24</c:v>
                </c:pt>
                <c:pt idx="11">
                  <c:v>21.25</c:v>
                </c:pt>
                <c:pt idx="12">
                  <c:v>22.1</c:v>
                </c:pt>
                <c:pt idx="13">
                  <c:v>24.05</c:v>
                </c:pt>
                <c:pt idx="14">
                  <c:v>26.28</c:v>
                </c:pt>
                <c:pt idx="15">
                  <c:v>27.64</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Mid 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390.3</c:v>
                </c:pt>
                <c:pt idx="1">
                  <c:v>427.5</c:v>
                </c:pt>
                <c:pt idx="2">
                  <c:v>429</c:v>
                </c:pt>
                <c:pt idx="3">
                  <c:v>440.9</c:v>
                </c:pt>
                <c:pt idx="4">
                  <c:v>417.9</c:v>
                </c:pt>
                <c:pt idx="5">
                  <c:v>428.8</c:v>
                </c:pt>
                <c:pt idx="6">
                  <c:v>444.1</c:v>
                </c:pt>
                <c:pt idx="7">
                  <c:v>467.3</c:v>
                </c:pt>
                <c:pt idx="8">
                  <c:v>440.9</c:v>
                </c:pt>
                <c:pt idx="9">
                  <c:v>479.5</c:v>
                </c:pt>
                <c:pt idx="10">
                  <c:v>479.9</c:v>
                </c:pt>
                <c:pt idx="11">
                  <c:v>461.1</c:v>
                </c:pt>
                <c:pt idx="12">
                  <c:v>474.1</c:v>
                </c:pt>
                <c:pt idx="13">
                  <c:v>565.79999999999995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Mid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79.5</c:v>
                </c:pt>
                <c:pt idx="1">
                  <c:v>78.099999999999994</c:v>
                </c:pt>
                <c:pt idx="2">
                  <c:v>77.599999999999994</c:v>
                </c:pt>
                <c:pt idx="3">
                  <c:v>78.3</c:v>
                </c:pt>
                <c:pt idx="4">
                  <c:v>78.599999999999994</c:v>
                </c:pt>
                <c:pt idx="5">
                  <c:v>77.8</c:v>
                </c:pt>
                <c:pt idx="6">
                  <c:v>70.599999999999994</c:v>
                </c:pt>
                <c:pt idx="7">
                  <c:v>73.2</c:v>
                </c:pt>
                <c:pt idx="8">
                  <c:v>73.2</c:v>
                </c:pt>
                <c:pt idx="9">
                  <c:v>78.7</c:v>
                </c:pt>
                <c:pt idx="10">
                  <c:v>78.599999999999994</c:v>
                </c:pt>
                <c:pt idx="11">
                  <c:v>81.8</c:v>
                </c:pt>
                <c:pt idx="12">
                  <c:v>82.8</c:v>
                </c:pt>
                <c:pt idx="13">
                  <c:v>85.1</c:v>
                </c:pt>
                <c:pt idx="14">
                  <c:v>83.6</c:v>
                </c:pt>
                <c:pt idx="15">
                  <c:v>84.1</c:v>
                </c:pt>
                <c:pt idx="16">
                  <c:v>81.5</c:v>
                </c:pt>
                <c:pt idx="17">
                  <c:v>77.8</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Mid 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13549</c:v>
                </c:pt>
                <c:pt idx="1">
                  <c:v>14116</c:v>
                </c:pt>
                <c:pt idx="2">
                  <c:v>14790</c:v>
                </c:pt>
                <c:pt idx="3">
                  <c:v>15260</c:v>
                </c:pt>
                <c:pt idx="4">
                  <c:v>15806</c:v>
                </c:pt>
                <c:pt idx="5">
                  <c:v>16360</c:v>
                </c:pt>
                <c:pt idx="6">
                  <c:v>16403</c:v>
                </c:pt>
                <c:pt idx="7">
                  <c:v>16603</c:v>
                </c:pt>
                <c:pt idx="8">
                  <c:v>17105</c:v>
                </c:pt>
                <c:pt idx="9">
                  <c:v>17818</c:v>
                </c:pt>
                <c:pt idx="10">
                  <c:v>18090</c:v>
                </c:pt>
                <c:pt idx="11">
                  <c:v>18997</c:v>
                </c:pt>
                <c:pt idx="12">
                  <c:v>19283</c:v>
                </c:pt>
                <c:pt idx="13">
                  <c:v>19688</c:v>
                </c:pt>
                <c:pt idx="14">
                  <c:v>20409</c:v>
                </c:pt>
                <c:pt idx="15">
                  <c:v>20811</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Mid 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27</c:v>
                </c:pt>
                <c:pt idx="1">
                  <c:v>34.1</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Mid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18.5</c:v>
                </c:pt>
                <c:pt idx="1">
                  <c:v>19.8</c:v>
                </c:pt>
                <c:pt idx="2">
                  <c:v>20.3</c:v>
                </c:pt>
                <c:pt idx="3">
                  <c:v>18.8</c:v>
                </c:pt>
                <c:pt idx="4">
                  <c:v>18.600000000000001</c:v>
                </c:pt>
                <c:pt idx="5">
                  <c:v>16.5</c:v>
                </c:pt>
                <c:pt idx="6">
                  <c:v>22.3</c:v>
                </c:pt>
                <c:pt idx="7">
                  <c:v>20.399999999999999</c:v>
                </c:pt>
                <c:pt idx="8">
                  <c:v>20.8</c:v>
                </c:pt>
                <c:pt idx="9">
                  <c:v>18.7</c:v>
                </c:pt>
                <c:pt idx="10">
                  <c:v>17.7</c:v>
                </c:pt>
                <c:pt idx="11">
                  <c:v>16.2</c:v>
                </c:pt>
                <c:pt idx="12">
                  <c:v>14.4</c:v>
                </c:pt>
                <c:pt idx="13">
                  <c:v>12.2</c:v>
                </c:pt>
                <c:pt idx="14">
                  <c:v>12.1</c:v>
                </c:pt>
                <c:pt idx="15">
                  <c:v>10</c:v>
                </c:pt>
                <c:pt idx="16">
                  <c:v>15.6</c:v>
                </c:pt>
                <c:pt idx="17">
                  <c:v>17.899999999999999</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Mid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48.9</c:v>
                </c:pt>
                <c:pt idx="1">
                  <c:v>12.200000000000003</c:v>
                </c:pt>
                <c:pt idx="2">
                  <c:v>40.1</c:v>
                </c:pt>
                <c:pt idx="3">
                  <c:v>44.000000000000007</c:v>
                </c:pt>
                <c:pt idx="4">
                  <c:v>24</c:v>
                </c:pt>
                <c:pt idx="5">
                  <c:v>35.699999999999996</c:v>
                </c:pt>
                <c:pt idx="6">
                  <c:v>31.699999999999996</c:v>
                </c:pt>
                <c:pt idx="7">
                  <c:v>37.1</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Mid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11.126676432077431</c:v>
                </c:pt>
                <c:pt idx="1">
                  <c:v>0</c:v>
                </c:pt>
                <c:pt idx="2">
                  <c:v>6.315493616954547</c:v>
                </c:pt>
                <c:pt idx="3">
                  <c:v>0</c:v>
                </c:pt>
                <c:pt idx="4">
                  <c:v>6.1433251379267162</c:v>
                </c:pt>
                <c:pt idx="5">
                  <c:v>10.258007579297098</c:v>
                </c:pt>
                <c:pt idx="6">
                  <c:v>3.8507821901323709</c:v>
                </c:pt>
                <c:pt idx="7">
                  <c:v>4.3789808917197446</c:v>
                </c:pt>
                <c:pt idx="8">
                  <c:v>14.181955129929522</c:v>
                </c:pt>
                <c:pt idx="9">
                  <c:v>0</c:v>
                </c:pt>
                <c:pt idx="10">
                  <c:v>0</c:v>
                </c:pt>
                <c:pt idx="11">
                  <c:v>0</c:v>
                </c:pt>
                <c:pt idx="12">
                  <c:v>0</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Mid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51.900000000000006</c:v>
                </c:pt>
                <c:pt idx="1">
                  <c:v>52.099999999999994</c:v>
                </c:pt>
                <c:pt idx="2">
                  <c:v>55.5</c:v>
                </c:pt>
                <c:pt idx="3">
                  <c:v>57.2</c:v>
                </c:pt>
                <c:pt idx="4">
                  <c:v>55.9</c:v>
                </c:pt>
                <c:pt idx="5">
                  <c:v>52.5</c:v>
                </c:pt>
                <c:pt idx="6">
                  <c:v>61.2</c:v>
                </c:pt>
                <c:pt idx="7">
                  <c:v>57.8</c:v>
                </c:pt>
                <c:pt idx="8">
                  <c:v>55.7</c:v>
                </c:pt>
                <c:pt idx="9">
                  <c:v>60.800000000000004</c:v>
                </c:pt>
                <c:pt idx="10">
                  <c:v>63.400000000000006</c:v>
                </c:pt>
                <c:pt idx="11">
                  <c:v>67.399999999999991</c:v>
                </c:pt>
                <c:pt idx="12">
                  <c:v>50.099999999999994</c:v>
                </c:pt>
                <c:pt idx="13">
                  <c:v>53.4</c:v>
                </c:pt>
                <c:pt idx="14">
                  <c:v>58</c:v>
                </c:pt>
                <c:pt idx="15">
                  <c:v>55.8</c:v>
                </c:pt>
                <c:pt idx="16">
                  <c:v>57.1</c:v>
                </c:pt>
                <c:pt idx="17">
                  <c:v>60.3</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Mid Devon has been consistently greater than that seen for England and 'Rural as a Region'.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Mid Devon, it remains below that of England overall or 'Rural as a Region'.</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Mid Devon in 2017 is above both that for 'Rural as a Region' and England, and a significant increase to 2018 increases the gap further.</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Mid Devon's economic inactivity rate is from 2004 to 2021 consistently below that seen for rural or England</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Mid Devon is generally greater than that of 'Rural as a Region' or England overall.</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Mid Devon is not clear due to large year on year fluctuations where data is available, and a significant number of years where data is unavailable.</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78</xdr:row>
      <xdr:rowOff>205740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11125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Mid Devon has a proportion of employed people in skilled employment that is generally in line with the rural and England situations, however with some exceptional years where it is either higher or lower by a marked amount.</a:t>
          </a:r>
          <a:endParaRPr lang="en-GB" sz="1100">
            <a:latin typeface="Avenir Next LT Pro" panose="020B0504020202020204" pitchFamily="34" charset="0"/>
          </a:endParaRPr>
        </a:p>
      </xdr:txBody>
    </xdr:sp>
    <xdr:clientData/>
  </xdr:twoCellAnchor>
  <xdr:twoCellAnchor>
    <xdr:from>
      <xdr:col>0</xdr:col>
      <xdr:colOff>571500</xdr:colOff>
      <xdr:row>12</xdr:row>
      <xdr:rowOff>487680</xdr:rowOff>
    </xdr:from>
    <xdr:to>
      <xdr:col>1</xdr:col>
      <xdr:colOff>2552700</xdr:colOff>
      <xdr:row>13</xdr:row>
      <xdr:rowOff>640080</xdr:rowOff>
    </xdr:to>
    <xdr:sp macro="" textlink="">
      <xdr:nvSpPr>
        <xdr:cNvPr id="20" name="TextBox 19">
          <a:extLst>
            <a:ext uri="{FF2B5EF4-FFF2-40B4-BE49-F238E27FC236}">
              <a16:creationId xmlns:a16="http://schemas.microsoft.com/office/drawing/2014/main" id="{599C4A33-CCEA-48C4-9B06-2D9CE7060B49}"/>
            </a:ext>
          </a:extLst>
        </xdr:cNvPr>
        <xdr:cNvSpPr txBox="1"/>
      </xdr:nvSpPr>
      <xdr:spPr>
        <a:xfrm>
          <a:off x="571500" y="347472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Mid Devon is consistently around 20% lower than that of 'Rural as a Region' from 2004 to 2016, but this gap reduces quickly to being 10% by 2019.</a:t>
          </a:r>
          <a:endParaRPr lang="en-GB" sz="1100">
            <a:latin typeface="Avenir Next LT Pro" panose="020B0504020202020204" pitchFamily="34" charset="0"/>
          </a:endParaRPr>
        </a:p>
      </xdr:txBody>
    </xdr:sp>
    <xdr:clientData/>
  </xdr:twoCellAnchor>
  <xdr:twoCellAnchor>
    <xdr:from>
      <xdr:col>0</xdr:col>
      <xdr:colOff>579120</xdr:colOff>
      <xdr:row>20</xdr:row>
      <xdr:rowOff>624840</xdr:rowOff>
    </xdr:from>
    <xdr:to>
      <xdr:col>1</xdr:col>
      <xdr:colOff>2560320</xdr:colOff>
      <xdr:row>22</xdr:row>
      <xdr:rowOff>152400</xdr:rowOff>
    </xdr:to>
    <xdr:sp macro="" textlink="">
      <xdr:nvSpPr>
        <xdr:cNvPr id="21" name="TextBox 20">
          <a:extLst>
            <a:ext uri="{FF2B5EF4-FFF2-40B4-BE49-F238E27FC236}">
              <a16:creationId xmlns:a16="http://schemas.microsoft.com/office/drawing/2014/main" id="{A50C5287-523F-4695-AB30-86287387D515}"/>
            </a:ext>
          </a:extLst>
        </xdr:cNvPr>
        <xdr:cNvSpPr txBox="1"/>
      </xdr:nvSpPr>
      <xdr:spPr>
        <a:xfrm>
          <a:off x="579120" y="755142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Mid Devon has fluctuated a little over the years, but is consistently just below or in line with the rural average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435</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Mid Devon</v>
      </c>
      <c r="G12" s="88" t="str">
        <f>IFERROR(VLOOKUP(F12,GVA!B244:B552,1,FALSE),VLOOKUP(F12,GVA!B6:C230,2,FALSE))</f>
        <v>Mid Devon</v>
      </c>
      <c r="H12" s="89" t="str">
        <f>IF(F12=G12,"",G12)</f>
        <v/>
      </c>
      <c r="I12" s="76">
        <f>IFERROR(VLOOKUP($F12,GVA!$B$7:$S$230,GVA!D$3,FALSE),VLOOKUP($F12,GVA!$B$244:$T$554,GVA!E$3,FALSE))</f>
        <v>18.41</v>
      </c>
      <c r="J12" s="77">
        <f>IFERROR(VLOOKUP($F12,GVA!$B$7:$S$230,GVA!E$3,FALSE),VLOOKUP($F12,GVA!$B$244:$T$554,GVA!F$3,FALSE))</f>
        <v>18.440000000000001</v>
      </c>
      <c r="K12" s="77">
        <f>IFERROR(VLOOKUP($F12,GVA!$B$7:$S$230,GVA!F$3,FALSE),VLOOKUP($F12,GVA!$B$244:$T$554,GVA!G$3,FALSE))</f>
        <v>19.64</v>
      </c>
      <c r="L12" s="77">
        <f>IFERROR(VLOOKUP($F12,GVA!$B$7:$S$230,GVA!G$3,FALSE),VLOOKUP($F12,GVA!$B$244:$T$554,GVA!H$3,FALSE))</f>
        <v>20.39</v>
      </c>
      <c r="M12" s="77">
        <f>IFERROR(VLOOKUP($F12,GVA!$B$7:$S$230,GVA!H$3,FALSE),VLOOKUP($F12,GVA!$B$244:$T$554,GVA!I$3,FALSE))</f>
        <v>20.95</v>
      </c>
      <c r="N12" s="77">
        <f>IFERROR(VLOOKUP($F12,GVA!$B$7:$S$230,GVA!I$3,FALSE),VLOOKUP($F12,GVA!$B$244:$T$554,GVA!J$3,FALSE))</f>
        <v>20.79</v>
      </c>
      <c r="O12" s="77">
        <f>IFERROR(VLOOKUP($F12,GVA!$B$7:$S$230,GVA!J$3,FALSE),VLOOKUP($F12,GVA!$B$244:$T$554,GVA!K$3,FALSE))</f>
        <v>20.89</v>
      </c>
      <c r="P12" s="77">
        <f>IFERROR(VLOOKUP($F12,GVA!$B$7:$S$230,GVA!K$3,FALSE),VLOOKUP($F12,GVA!$B$244:$T$554,GVA!L$3,FALSE))</f>
        <v>20.95</v>
      </c>
      <c r="Q12" s="77">
        <f>IFERROR(VLOOKUP($F12,GVA!$B$7:$S$230,GVA!L$3,FALSE),VLOOKUP($F12,GVA!$B$244:$T$554,GVA!M$3,FALSE))</f>
        <v>21.28</v>
      </c>
      <c r="R12" s="77">
        <f>IFERROR(VLOOKUP($F12,GVA!$B$7:$S$230,GVA!M$3,FALSE),VLOOKUP($F12,GVA!$B$244:$T$554,GVA!N$3,FALSE))</f>
        <v>21.38</v>
      </c>
      <c r="S12" s="77">
        <f>IFERROR(VLOOKUP($F12,GVA!$B$7:$S$230,GVA!N$3,FALSE),VLOOKUP($F12,GVA!$B$244:$T$554,GVA!O$3,FALSE))</f>
        <v>21.24</v>
      </c>
      <c r="T12" s="77">
        <f>IFERROR(VLOOKUP($F12,GVA!$B$7:$S$230,GVA!O$3,FALSE),VLOOKUP($F12,GVA!$B$244:$T$554,GVA!P$3,FALSE))</f>
        <v>21.25</v>
      </c>
      <c r="U12" s="77">
        <f>IFERROR(VLOOKUP($F12,GVA!$B$7:$S$230,GVA!P$3,FALSE),VLOOKUP($F12,GVA!$B$244:$T$554,GVA!Q$3,FALSE))</f>
        <v>22.1</v>
      </c>
      <c r="V12" s="77">
        <f>IFERROR(VLOOKUP($F12,GVA!$B$7:$S$230,GVA!Q$3,FALSE),VLOOKUP($F12,GVA!$B$244:$T$554,GVA!R$3,FALSE))</f>
        <v>24.05</v>
      </c>
      <c r="W12" s="77">
        <f>IFERROR(VLOOKUP($F12,GVA!$B$7:$S$230,GVA!R$3,FALSE),VLOOKUP($F12,GVA!$B$244:$T$554,GVA!S$3,FALSE))</f>
        <v>26.28</v>
      </c>
      <c r="X12" s="77">
        <f>IFERROR(VLOOKUP($F12,GVA!$B$7:$S$230,GVA!S$3,FALSE),VLOOKUP($F12,GVA!$B$244:$T$554,GVA!T$3,FALSE))</f>
        <v>27.64</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Mid Devon to Rural as a Region</v>
      </c>
      <c r="G15" s="122"/>
      <c r="H15" s="123"/>
      <c r="I15" s="74">
        <f>100*((I12-I13)/I13)</f>
        <v>-21.793088799769354</v>
      </c>
      <c r="J15" s="74">
        <f t="shared" ref="J15:X15" si="0">100*((J12-J13)/J13)</f>
        <v>-21.44755258940706</v>
      </c>
      <c r="K15" s="74">
        <f t="shared" si="0"/>
        <v>-19.190019250268225</v>
      </c>
      <c r="L15" s="74">
        <f t="shared" si="0"/>
        <v>-17.909932708345334</v>
      </c>
      <c r="M15" s="74">
        <f t="shared" si="0"/>
        <v>-17.077790814379203</v>
      </c>
      <c r="N15" s="74">
        <f t="shared" si="0"/>
        <v>-18.383332320735061</v>
      </c>
      <c r="O15" s="74">
        <f t="shared" si="0"/>
        <v>-18.999986151950012</v>
      </c>
      <c r="P15" s="74">
        <f t="shared" si="0"/>
        <v>-19.960703516216611</v>
      </c>
      <c r="Q15" s="74">
        <f t="shared" si="0"/>
        <v>-20.331595133039183</v>
      </c>
      <c r="R15" s="74">
        <f t="shared" si="0"/>
        <v>-21.321644959060059</v>
      </c>
      <c r="S15" s="74">
        <f t="shared" si="0"/>
        <v>-23.11212814645312</v>
      </c>
      <c r="T15" s="74">
        <f t="shared" si="0"/>
        <v>-24.506437042174881</v>
      </c>
      <c r="U15" s="74">
        <f t="shared" si="0"/>
        <v>-23.3624102612795</v>
      </c>
      <c r="V15" s="74">
        <f t="shared" si="0"/>
        <v>-18.807145871430571</v>
      </c>
      <c r="W15" s="74">
        <f t="shared" si="0"/>
        <v>-13.079155329981157</v>
      </c>
      <c r="X15" s="74">
        <f t="shared" si="0"/>
        <v>-9.5292462718845474</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Mid Devon</v>
      </c>
      <c r="G20" s="88"/>
      <c r="H20" s="89"/>
      <c r="I20" s="80">
        <f>IF(VLOOKUP($F20,PAY!$A$11:$AE$349,4,FALSE)="-",#N/A,VLOOKUP($F20,PAY!$A$11:$AE$349,4,FALSE))</f>
        <v>390.3</v>
      </c>
      <c r="J20" s="80">
        <f>IF(VLOOKUP($F20,PAY!$A$11:$AE$349,6,FALSE)="-",#N/A,VLOOKUP($F20,PAY!$A$11:$AE$349,6,FALSE))</f>
        <v>427.5</v>
      </c>
      <c r="K20" s="80">
        <f>IF(VLOOKUP($F20,PAY!$A$11:$AE$349,8,FALSE)="-",#N/A,VLOOKUP($F20,PAY!$A$11:$AE$349,8,FALSE))</f>
        <v>429</v>
      </c>
      <c r="L20" s="80">
        <f>IF(VLOOKUP($F20,PAY!$A$11:$AE$349,10,FALSE)="-",#N/A,VLOOKUP($F20,PAY!$A$11:$AE$349,10,FALSE))</f>
        <v>440.9</v>
      </c>
      <c r="M20" s="80">
        <f>IF(VLOOKUP($F20,PAY!$A$11:$AE$349,12,FALSE)="-",#N/A,VLOOKUP($F20,PAY!$A$11:$AE$349,12,FALSE))</f>
        <v>417.9</v>
      </c>
      <c r="N20" s="80">
        <f>IF(VLOOKUP($F20,PAY!$A$11:$AE$349,14,FALSE)="-",#N/A,VLOOKUP($F20,PAY!$A$11:$AE$349,14,FALSE))</f>
        <v>428.8</v>
      </c>
      <c r="O20" s="80">
        <f>IF(VLOOKUP($F20,PAY!$A$11:$AE$349,16,FALSE)="-",#N/A,VLOOKUP($F20,PAY!$A$11:$AE$349,16,FALSE))</f>
        <v>444.1</v>
      </c>
      <c r="P20" s="80">
        <f>IF(VLOOKUP($F20,PAY!$A$11:$AE$349,18,FALSE)="-",#N/A,VLOOKUP($F20,PAY!$A$11:$AE$349,18,FALSE))</f>
        <v>467.3</v>
      </c>
      <c r="Q20" s="80">
        <f>IF(VLOOKUP($F20,PAY!$A$11:$AE$349,20,FALSE)="-",#N/A,VLOOKUP($F20,PAY!$A$11:$AE$349,20,FALSE))</f>
        <v>440.9</v>
      </c>
      <c r="R20" s="80">
        <f>IF(VLOOKUP($F20,PAY!$A$11:$AE$349,22,FALSE)="-",#N/A,VLOOKUP($F20,PAY!$A$11:$AE$349,22,FALSE))</f>
        <v>479.5</v>
      </c>
      <c r="S20" s="80">
        <f>IF(VLOOKUP($F20,PAY!$A$11:$AE$349,24,FALSE)="-",#N/A,VLOOKUP($F20,PAY!$A$11:$AE$349,24,FALSE))</f>
        <v>479.9</v>
      </c>
      <c r="T20" s="80">
        <f>IF(VLOOKUP($F20,PAY!$A$11:$AE$349,26,FALSE)="-",#N/A,VLOOKUP($F20,PAY!$A$11:$AE$349,26,FALSE))</f>
        <v>461.1</v>
      </c>
      <c r="U20" s="80">
        <f>IF(VLOOKUP($F20,PAY!$A$11:$AE$349,28,FALSE)="-",#N/A,VLOOKUP($F20,PAY!$A$11:$AE$349,28,FALSE))</f>
        <v>474.1</v>
      </c>
      <c r="V20" s="80">
        <f>IF(VLOOKUP($F20,PAY!$A$11:$AE$349,30,FALSE)="-",#N/A,VLOOKUP($F20,PAY!$A$11:$AE$349,30,FALSE))</f>
        <v>565.79999999999995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Mid Devon to Rural as a Region</v>
      </c>
      <c r="G23" s="122"/>
      <c r="H23" s="123"/>
      <c r="I23" s="74">
        <f>100*((I20-I21)/I21)</f>
        <v>-9.8598507881565975</v>
      </c>
      <c r="J23" s="74">
        <f t="shared" ref="J23:V23" si="2">100*((J20-J21)/J21)</f>
        <v>-2.1571207873204807</v>
      </c>
      <c r="K23" s="74">
        <f t="shared" si="2"/>
        <v>-4.2651458013779546</v>
      </c>
      <c r="L23" s="74">
        <f t="shared" si="2"/>
        <v>-2.1642285739966609</v>
      </c>
      <c r="M23" s="74">
        <f t="shared" si="2"/>
        <v>-8.2028795301994926</v>
      </c>
      <c r="N23" s="74">
        <f t="shared" si="2"/>
        <v>-7.4210316310746443</v>
      </c>
      <c r="O23" s="74">
        <f t="shared" si="2"/>
        <v>-5.6717051950077106</v>
      </c>
      <c r="P23" s="74">
        <f t="shared" si="2"/>
        <v>-1.5840728961448551</v>
      </c>
      <c r="Q23" s="74">
        <f t="shared" si="2"/>
        <v>-9.925237463504466</v>
      </c>
      <c r="R23" s="74">
        <f t="shared" si="2"/>
        <v>-4.8718624828919479</v>
      </c>
      <c r="S23" s="74">
        <f t="shared" si="2"/>
        <v>-6.7114873562509896</v>
      </c>
      <c r="T23" s="74">
        <f t="shared" si="2"/>
        <v>-13.602955117809881</v>
      </c>
      <c r="U23" s="74">
        <f t="shared" si="2"/>
        <v>-10.723733466433702</v>
      </c>
      <c r="V23" s="74">
        <f t="shared" si="2"/>
        <v>0.27395154281903383</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Mid Devon</v>
      </c>
      <c r="G28" s="88"/>
      <c r="H28" s="89"/>
      <c r="I28" s="76">
        <f>VLOOKUP($F28,EMPLOYMENT!$A$6:$BW$345,6,FALSE)</f>
        <v>79.5</v>
      </c>
      <c r="J28" s="77">
        <f>VLOOKUP($F28,EMPLOYMENT!$A$6:$BW$345,10,FALSE)</f>
        <v>78.099999999999994</v>
      </c>
      <c r="K28" s="77">
        <f>VLOOKUP($F28,EMPLOYMENT!$A$6:$BW$345,14,FALSE)</f>
        <v>77.599999999999994</v>
      </c>
      <c r="L28" s="77">
        <f>VLOOKUP($F28,EMPLOYMENT!$A$6:$BW$345,18,FALSE)</f>
        <v>78.3</v>
      </c>
      <c r="M28" s="77">
        <f>VLOOKUP($F28,EMPLOYMENT!$A$6:$BW$345,22,FALSE)</f>
        <v>78.599999999999994</v>
      </c>
      <c r="N28" s="77">
        <f>VLOOKUP($F28,EMPLOYMENT!$A$6:$BW$345,26,FALSE)</f>
        <v>77.8</v>
      </c>
      <c r="O28" s="77">
        <f>VLOOKUP($F28,EMPLOYMENT!$A$6:$BW$345,30,FALSE)</f>
        <v>70.599999999999994</v>
      </c>
      <c r="P28" s="77">
        <f>VLOOKUP($F28,EMPLOYMENT!$A$6:$BW$345,34,FALSE)</f>
        <v>73.2</v>
      </c>
      <c r="Q28" s="77">
        <f>VLOOKUP($F28,EMPLOYMENT!$A$6:$BW$345,38,FALSE)</f>
        <v>73.2</v>
      </c>
      <c r="R28" s="77">
        <f>VLOOKUP($F28,EMPLOYMENT!$A$6:$BW$345,42,FALSE)</f>
        <v>78.7</v>
      </c>
      <c r="S28" s="77">
        <f>VLOOKUP($F28,EMPLOYMENT!$A$6:$BW$345,46,FALSE)</f>
        <v>78.599999999999994</v>
      </c>
      <c r="T28" s="77">
        <f>VLOOKUP($F28,EMPLOYMENT!$A$6:$BW$345,50,FALSE)</f>
        <v>81.8</v>
      </c>
      <c r="U28" s="77">
        <f>VLOOKUP($F28,EMPLOYMENT!$A$6:$BW$345,54,FALSE)</f>
        <v>82.8</v>
      </c>
      <c r="V28" s="77">
        <f>VLOOKUP($F28,EMPLOYMENT!$A$6:$BW$345,58,FALSE)</f>
        <v>85.1</v>
      </c>
      <c r="W28" s="77">
        <f>VLOOKUP($F28,EMPLOYMENT!$A$6:$BW$345,62,FALSE)</f>
        <v>83.6</v>
      </c>
      <c r="X28" s="77">
        <f>VLOOKUP($F28,EMPLOYMENT!$A$6:$BW$345,66,FALSE)</f>
        <v>84.1</v>
      </c>
      <c r="Y28" s="77">
        <f>VLOOKUP($F28,EMPLOYMENT!$A$6:$BW$345,70,FALSE)</f>
        <v>81.5</v>
      </c>
      <c r="Z28" s="77">
        <f>VLOOKUP($F28,EMPLOYMENT!$A$6:$BW$345,74,FALSE)</f>
        <v>77.8</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Mid Devon to Rural as a Region</v>
      </c>
      <c r="G31" s="122"/>
      <c r="H31" s="123"/>
      <c r="I31" s="74">
        <f>(I28-I29)</f>
        <v>3.3886580805982618</v>
      </c>
      <c r="J31" s="74">
        <f t="shared" ref="J31:Z31" si="4">(J28-J29)</f>
        <v>1.7870245333170374</v>
      </c>
      <c r="K31" s="74">
        <f t="shared" si="4"/>
        <v>1.7268111005132312</v>
      </c>
      <c r="L31" s="74">
        <f t="shared" si="4"/>
        <v>2.6595316973721594</v>
      </c>
      <c r="M31" s="74">
        <f t="shared" si="4"/>
        <v>2.8644756266682521</v>
      </c>
      <c r="N31" s="74">
        <f t="shared" si="4"/>
        <v>3.2904601571268159</v>
      </c>
      <c r="O31" s="74">
        <f t="shared" si="4"/>
        <v>-2.9471331389698747</v>
      </c>
      <c r="P31" s="74">
        <f t="shared" si="4"/>
        <v>-0.5342954032776106</v>
      </c>
      <c r="Q31" s="74">
        <f t="shared" si="4"/>
        <v>-0.83315747546257057</v>
      </c>
      <c r="R31" s="74">
        <f t="shared" si="4"/>
        <v>3.9555250700997959</v>
      </c>
      <c r="S31" s="74">
        <f t="shared" si="4"/>
        <v>2.4911396599243858</v>
      </c>
      <c r="T31" s="74">
        <f t="shared" si="4"/>
        <v>4.6094680243909778</v>
      </c>
      <c r="U31" s="74">
        <f t="shared" si="4"/>
        <v>5.8283675182919552</v>
      </c>
      <c r="V31" s="74">
        <f t="shared" si="4"/>
        <v>7.0672131147540966</v>
      </c>
      <c r="W31" s="74">
        <f t="shared" si="4"/>
        <v>5.5518431065858493</v>
      </c>
      <c r="X31" s="74">
        <f t="shared" si="4"/>
        <v>5.5087006210432889</v>
      </c>
      <c r="Y31" s="74">
        <f t="shared" si="4"/>
        <v>4.4856537038707955</v>
      </c>
      <c r="Z31" s="74">
        <f t="shared" si="4"/>
        <v>1.6442419221209548</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Mid Devon</v>
      </c>
      <c r="G36" s="88" t="str">
        <f>IFERROR(VLOOKUP(F36,GDHI!B338:C574,2,FALSE),VLOOKUP(F36,GDHI!C3:C336,1,FALSE))</f>
        <v>Mid Devon</v>
      </c>
      <c r="H36" s="89" t="str">
        <f>IF(F36=G36,"",G36)</f>
        <v/>
      </c>
      <c r="I36" s="83">
        <f>IFERROR(VLOOKUP($F36,GDHI!$B$338:$U$574,GDHI!G$578,FALSE),VLOOKUP($F36,GDHI!$C$3:$U$336,GDHI!F$578,FALSE))</f>
        <v>13549</v>
      </c>
      <c r="J36" s="84">
        <f>IFERROR(VLOOKUP($F36,GDHI!$B$338:$U$574,GDHI!H$578,FALSE),VLOOKUP($F36,GDHI!$C$3:$U$336,GDHI!G$578,FALSE))</f>
        <v>14116</v>
      </c>
      <c r="K36" s="84">
        <f>IFERROR(VLOOKUP($F36,GDHI!$B$338:$U$574,GDHI!I$578,FALSE),VLOOKUP($F36,GDHI!$C$3:$U$336,GDHI!H$578,FALSE))</f>
        <v>14790</v>
      </c>
      <c r="L36" s="84">
        <f>IFERROR(VLOOKUP($F36,GDHI!$B$338:$U$574,GDHI!J$578,FALSE),VLOOKUP($F36,GDHI!$C$3:$U$336,GDHI!I$578,FALSE))</f>
        <v>15260</v>
      </c>
      <c r="M36" s="84">
        <f>IFERROR(VLOOKUP($F36,GDHI!$B$338:$U$574,GDHI!K$578,FALSE),VLOOKUP($F36,GDHI!$C$3:$U$336,GDHI!J$578,FALSE))</f>
        <v>15806</v>
      </c>
      <c r="N36" s="84">
        <f>IFERROR(VLOOKUP($F36,GDHI!$B$338:$U$574,GDHI!L$578,FALSE),VLOOKUP($F36,GDHI!$C$3:$U$336,GDHI!K$578,FALSE))</f>
        <v>16360</v>
      </c>
      <c r="O36" s="84">
        <f>IFERROR(VLOOKUP($F36,GDHI!$B$338:$U$574,GDHI!M$578,FALSE),VLOOKUP($F36,GDHI!$C$3:$U$336,GDHI!L$578,FALSE))</f>
        <v>16403</v>
      </c>
      <c r="P36" s="84">
        <f>IFERROR(VLOOKUP($F36,GDHI!$B$338:$U$574,GDHI!N$578,FALSE),VLOOKUP($F36,GDHI!$C$3:$U$336,GDHI!M$578,FALSE))</f>
        <v>16603</v>
      </c>
      <c r="Q36" s="84">
        <f>IFERROR(VLOOKUP($F36,GDHI!$B$338:$U$574,GDHI!O$578,FALSE),VLOOKUP($F36,GDHI!$C$3:$U$336,GDHI!N$578,FALSE))</f>
        <v>17105</v>
      </c>
      <c r="R36" s="84">
        <f>IFERROR(VLOOKUP($F36,GDHI!$B$338:$U$574,GDHI!P$578,FALSE),VLOOKUP($F36,GDHI!$C$3:$U$336,GDHI!O$578,FALSE))</f>
        <v>17818</v>
      </c>
      <c r="S36" s="84">
        <f>IFERROR(VLOOKUP($F36,GDHI!$B$338:$U$574,GDHI!Q$578,FALSE),VLOOKUP($F36,GDHI!$C$3:$U$336,GDHI!P$578,FALSE))</f>
        <v>18090</v>
      </c>
      <c r="T36" s="84">
        <f>IFERROR(VLOOKUP($F36,GDHI!$B$338:$U$574,GDHI!R$578,FALSE),VLOOKUP($F36,GDHI!$C$3:$U$336,GDHI!Q$578,FALSE))</f>
        <v>18997</v>
      </c>
      <c r="U36" s="84">
        <f>IFERROR(VLOOKUP($F36,GDHI!$B$338:$U$574,GDHI!S$578,FALSE),VLOOKUP($F36,GDHI!$C$3:$U$336,GDHI!R$578,FALSE))</f>
        <v>19283</v>
      </c>
      <c r="V36" s="84">
        <f>IFERROR(VLOOKUP($F36,GDHI!$B$338:$U$574,GDHI!T$578,FALSE),VLOOKUP($F36,GDHI!$C$3:$U$336,GDHI!S$578,FALSE))</f>
        <v>19688</v>
      </c>
      <c r="W36" s="84">
        <f>IFERROR(VLOOKUP($F36,GDHI!$B$338:$U$574,GDHI!U$578,FALSE),VLOOKUP($F36,GDHI!$C$3:$U$336,GDHI!T$578,FALSE))</f>
        <v>20409</v>
      </c>
      <c r="X36" s="84">
        <f>IFERROR(VLOOKUP($F36,GDHI!$B$338:$U$574,GDHI!V$578,FALSE),VLOOKUP($F36,GDHI!$C$3:$U$336,GDHI!U$578,FALSE))</f>
        <v>20811</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Mid Devon to Rural as a Region</v>
      </c>
      <c r="G39" s="122"/>
      <c r="H39" s="123"/>
      <c r="I39" s="74">
        <f>100*((I36-I37)/I37)</f>
        <v>-7.8894591930385127</v>
      </c>
      <c r="J39" s="74">
        <f t="shared" ref="J39:X39" si="6">100*((J36-J37)/J37)</f>
        <v>-7.9877797530963885</v>
      </c>
      <c r="K39" s="74">
        <f t="shared" si="6"/>
        <v>-7.1223678278987208</v>
      </c>
      <c r="L39" s="74">
        <f t="shared" si="6"/>
        <v>-7.8957295504075207</v>
      </c>
      <c r="M39" s="74">
        <f t="shared" si="6"/>
        <v>-7.3688205659156987</v>
      </c>
      <c r="N39" s="74">
        <f t="shared" si="6"/>
        <v>-5.394790738018945</v>
      </c>
      <c r="O39" s="74">
        <f t="shared" si="6"/>
        <v>-6.3109545681715478</v>
      </c>
      <c r="P39" s="74">
        <f t="shared" si="6"/>
        <v>-6.7249686330427121</v>
      </c>
      <c r="Q39" s="74">
        <f t="shared" si="6"/>
        <v>-6.8677589847897274</v>
      </c>
      <c r="R39" s="74">
        <f t="shared" si="6"/>
        <v>-5.5947006801390975</v>
      </c>
      <c r="S39" s="74">
        <f t="shared" si="6"/>
        <v>-6.7335188155164234</v>
      </c>
      <c r="T39" s="74">
        <f t="shared" si="6"/>
        <v>-7.1430815908273537</v>
      </c>
      <c r="U39" s="74">
        <f t="shared" si="6"/>
        <v>-6.5062349494254583</v>
      </c>
      <c r="V39" s="74">
        <f t="shared" si="6"/>
        <v>-6.0932905040653553</v>
      </c>
      <c r="W39" s="74">
        <f t="shared" si="6"/>
        <v>-6.5602452256968178</v>
      </c>
      <c r="X39" s="74">
        <f t="shared" si="6"/>
        <v>-6.5309786656586208</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Mid Devon</v>
      </c>
      <c r="G44" s="88"/>
      <c r="H44" s="89"/>
      <c r="I44" s="76">
        <f>VLOOKUP($F44,'LOW PAID'!$A$9:$N$444,6,FALSE)</f>
        <v>27</v>
      </c>
      <c r="J44" s="77">
        <f>VLOOKUP($F44,'LOW PAID'!$P$9:$W$444,6,FALSE)</f>
        <v>34.1</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Mid Devon to Rural as a Region</v>
      </c>
      <c r="G47" s="122"/>
      <c r="H47" s="123"/>
      <c r="I47" s="74">
        <f>(I44-I45)</f>
        <v>1.8061253217868831</v>
      </c>
      <c r="J47" s="74">
        <f>(J44-J45)</f>
        <v>8.4138834909699476</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Mid Devon</v>
      </c>
      <c r="G52" s="88"/>
      <c r="H52" s="89"/>
      <c r="I52" s="76">
        <f>VLOOKUP($F52,INACTIVITY!$A$6:$BW$345,6,FALSE)</f>
        <v>18.5</v>
      </c>
      <c r="J52" s="77">
        <f>VLOOKUP($F52,INACTIVITY!$A$6:$BW$345,10,FALSE)</f>
        <v>19.8</v>
      </c>
      <c r="K52" s="77">
        <f>VLOOKUP($F52,INACTIVITY!$A$6:$BW$345,14,FALSE)</f>
        <v>20.3</v>
      </c>
      <c r="L52" s="77">
        <f>VLOOKUP($F52,INACTIVITY!$A$6:$BW$345,18,FALSE)</f>
        <v>18.8</v>
      </c>
      <c r="M52" s="77">
        <f>VLOOKUP($F52,INACTIVITY!$A$6:$BW$345,22,FALSE)</f>
        <v>18.600000000000001</v>
      </c>
      <c r="N52" s="77">
        <f>VLOOKUP($F52,INACTIVITY!$A$6:$BW$345,26,FALSE)</f>
        <v>16.5</v>
      </c>
      <c r="O52" s="77">
        <f>VLOOKUP($F52,INACTIVITY!$A$6:$BW$345,30,FALSE)</f>
        <v>22.3</v>
      </c>
      <c r="P52" s="77">
        <f>VLOOKUP($F52,INACTIVITY!$A$6:$BW$345,34,FALSE)</f>
        <v>20.399999999999999</v>
      </c>
      <c r="Q52" s="77">
        <f>VLOOKUP($F52,INACTIVITY!$A$6:$BW$345,38,FALSE)</f>
        <v>20.8</v>
      </c>
      <c r="R52" s="77">
        <f>VLOOKUP($F52,INACTIVITY!$A$6:$BW$345,42,FALSE)</f>
        <v>18.7</v>
      </c>
      <c r="S52" s="77">
        <f>VLOOKUP($F52,INACTIVITY!$A$6:$BW$345,46,FALSE)</f>
        <v>17.7</v>
      </c>
      <c r="T52" s="77">
        <f>VLOOKUP($F52,INACTIVITY!$A$6:$BW$345,50,FALSE)</f>
        <v>16.2</v>
      </c>
      <c r="U52" s="77">
        <f>VLOOKUP($F52,INACTIVITY!$A$6:$BW$345,54,FALSE)</f>
        <v>14.4</v>
      </c>
      <c r="V52" s="77">
        <f>VLOOKUP($F52,INACTIVITY!$A$6:$BW$345,58,FALSE)</f>
        <v>12.2</v>
      </c>
      <c r="W52" s="77">
        <f>VLOOKUP($F52,INACTIVITY!$A$6:$BW$345,62,FALSE)</f>
        <v>12.1</v>
      </c>
      <c r="X52" s="77">
        <f>VLOOKUP($F52,INACTIVITY!$A$6:$BW$345,66,FALSE)</f>
        <v>10</v>
      </c>
      <c r="Y52" s="77">
        <f>VLOOKUP($F52,INACTIVITY!$A$6:$BW$345,70,FALSE)</f>
        <v>15.6</v>
      </c>
      <c r="Z52" s="77">
        <f>VLOOKUP($F52,INACTIVITY!$A$6:$BW$345,74,FALSE)</f>
        <v>17.899999999999999</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Mid Devon to Rural as a Region</v>
      </c>
      <c r="G55" s="122"/>
      <c r="H55" s="123"/>
      <c r="I55" s="74">
        <f>(I52-I53)</f>
        <v>-2.8956445716102373</v>
      </c>
      <c r="J55" s="74">
        <f t="shared" ref="J55:Z55" si="10">(J52-J53)</f>
        <v>-1.2085227272727259</v>
      </c>
      <c r="K55" s="74">
        <f t="shared" si="10"/>
        <v>-0.56246539345877622</v>
      </c>
      <c r="L55" s="74">
        <f t="shared" si="10"/>
        <v>-2.5140653315366386</v>
      </c>
      <c r="M55" s="74">
        <f t="shared" si="10"/>
        <v>-2.2350023108920034</v>
      </c>
      <c r="N55" s="74">
        <f t="shared" si="10"/>
        <v>-4.4331437579204405</v>
      </c>
      <c r="O55" s="74">
        <f t="shared" si="10"/>
        <v>0.60806287249482693</v>
      </c>
      <c r="P55" s="74">
        <f t="shared" si="10"/>
        <v>-1.0942457807534502</v>
      </c>
      <c r="Q55" s="74">
        <f t="shared" si="10"/>
        <v>-0.38254879448909307</v>
      </c>
      <c r="R55" s="74">
        <f t="shared" si="10"/>
        <v>-2.0745930974387718</v>
      </c>
      <c r="S55" s="74">
        <f t="shared" si="10"/>
        <v>-2.5732104559724007</v>
      </c>
      <c r="T55" s="74">
        <f t="shared" si="10"/>
        <v>-3.4961946834069586</v>
      </c>
      <c r="U55" s="74">
        <f t="shared" si="10"/>
        <v>-5.4524293470694705</v>
      </c>
      <c r="V55" s="74">
        <f t="shared" si="10"/>
        <v>-7.0532773342803772</v>
      </c>
      <c r="W55" s="74">
        <f t="shared" si="10"/>
        <v>-7.0769560091828492</v>
      </c>
      <c r="X55" s="74">
        <f t="shared" si="10"/>
        <v>-8.8520649493649302</v>
      </c>
      <c r="Y55" s="74">
        <f t="shared" si="10"/>
        <v>-4.1725827218714624</v>
      </c>
      <c r="Z55" s="74">
        <f t="shared" si="10"/>
        <v>-3.1851797756300719</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Mid Devon</v>
      </c>
      <c r="G60" s="88"/>
      <c r="H60" s="89"/>
      <c r="I60" s="76">
        <f>VLOOKUP($F60,DISABILITY!$A$718:$I$1052,DISABILITY!B$1053,FALSE)</f>
        <v>48.9</v>
      </c>
      <c r="J60" s="77">
        <f>VLOOKUP($F60,DISABILITY!$A$718:$I$1052,DISABILITY!C$1053,FALSE)</f>
        <v>12.200000000000003</v>
      </c>
      <c r="K60" s="77">
        <f>VLOOKUP($F60,DISABILITY!$A$718:$I$1052,DISABILITY!D$1053,FALSE)</f>
        <v>40.1</v>
      </c>
      <c r="L60" s="77">
        <f>VLOOKUP($F60,DISABILITY!$A$718:$I$1052,DISABILITY!E$1053,FALSE)</f>
        <v>44.000000000000007</v>
      </c>
      <c r="M60" s="77">
        <f>VLOOKUP($F60,DISABILITY!$A$718:$I$1052,DISABILITY!F$1053,FALSE)</f>
        <v>24</v>
      </c>
      <c r="N60" s="77">
        <f>VLOOKUP($F60,DISABILITY!$A$718:$I$1052,DISABILITY!G$1053,FALSE)</f>
        <v>35.699999999999996</v>
      </c>
      <c r="O60" s="77">
        <f>VLOOKUP($F60,DISABILITY!$A$718:$I$1052,DISABILITY!H$1053,FALSE)</f>
        <v>31.699999999999996</v>
      </c>
      <c r="P60" s="77">
        <f>VLOOKUP($F60,DISABILITY!$A$718:$I$1052,DISABILITY!I$1053,FALSE)</f>
        <v>37.1</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Mid Devon to Rural as a Region</v>
      </c>
      <c r="G63" s="122"/>
      <c r="H63" s="123"/>
      <c r="I63" s="74">
        <f>(I60-I61)</f>
        <v>21.47984345935275</v>
      </c>
      <c r="J63" s="74">
        <f t="shared" ref="J63:P63" si="12">(J60-J61)</f>
        <v>-15.119044407051184</v>
      </c>
      <c r="K63" s="74">
        <f t="shared" si="12"/>
        <v>11.980871638501796</v>
      </c>
      <c r="L63" s="74">
        <f t="shared" si="12"/>
        <v>18.009065461003331</v>
      </c>
      <c r="M63" s="74">
        <f t="shared" si="12"/>
        <v>-1.475225818666118</v>
      </c>
      <c r="N63" s="74">
        <f t="shared" si="12"/>
        <v>10.168752314558013</v>
      </c>
      <c r="O63" s="74">
        <f t="shared" si="12"/>
        <v>7.9027777120030507</v>
      </c>
      <c r="P63" s="74">
        <f t="shared" si="12"/>
        <v>11.745822069657827</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Mid Devon</v>
      </c>
      <c r="G68" s="88"/>
      <c r="H68" s="89"/>
      <c r="I68" s="76">
        <f>VLOOKUP($F68,'WORKLESS HOUSEHOLDS'!$DW$4:$EC$397,7,FALSE)</f>
        <v>11.126676432077431</v>
      </c>
      <c r="J68" s="77" t="str">
        <f>VLOOKUP($F68,'WORKLESS HOUSEHOLDS'!$DN$4:$DT$397,7,FALSE)</f>
        <v>*</v>
      </c>
      <c r="K68" s="77">
        <f>VLOOKUP($F68,'WORKLESS HOUSEHOLDS'!$DE$4:$DK$397,7,FALSE)</f>
        <v>6.315493616954547</v>
      </c>
      <c r="L68" s="77" t="str">
        <f>VLOOKUP($F68,'WORKLESS HOUSEHOLDS'!$CV$4:$DB$397,7,FALSE)</f>
        <v>*</v>
      </c>
      <c r="M68" s="77">
        <f>VLOOKUP($F68,'WORKLESS HOUSEHOLDS'!$CM$4:$CS$397,7,FALSE)</f>
        <v>6.1433251379267162</v>
      </c>
      <c r="N68" s="77">
        <f>VLOOKUP($F68,'WORKLESS HOUSEHOLDS'!$CD$4:$CJ$397,7,FALSE)</f>
        <v>10.258007579297098</v>
      </c>
      <c r="O68" s="77">
        <f>VLOOKUP($F68,'WORKLESS HOUSEHOLDS'!$BU$4:$CA$397,7,FALSE)</f>
        <v>3.8507821901323709</v>
      </c>
      <c r="P68" s="77">
        <f>VLOOKUP($F68,'WORKLESS HOUSEHOLDS'!$BL$4:$BR$397,7,FALSE)</f>
        <v>4.3789808917197446</v>
      </c>
      <c r="Q68" s="77">
        <f>VLOOKUP($F68,'WORKLESS HOUSEHOLDS'!$BC$4:$BI$397,7,FALSE)</f>
        <v>14.181955129929522</v>
      </c>
      <c r="R68" s="77" t="str">
        <f>VLOOKUP($F68,'WORKLESS HOUSEHOLDS'!$AT$4:$AZ$397,7,FALSE)</f>
        <v>#</v>
      </c>
      <c r="S68" s="77" t="str">
        <f>VLOOKUP($F68,'WORKLESS HOUSEHOLDS'!$AK$4:$AQ$397,7,FALSE)</f>
        <v>#</v>
      </c>
      <c r="T68" s="77" t="str">
        <f>VLOOKUP($F68,'WORKLESS HOUSEHOLDS'!$AB$4:$AH$397,7,FALSE)</f>
        <v>#</v>
      </c>
      <c r="U68" s="77" t="str">
        <f>VLOOKUP($F68,'WORKLESS HOUSEHOLDS'!$S$4:$Y$397,7,FALSE)</f>
        <v>#</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Mid Devon to Rural as a Region</v>
      </c>
      <c r="G71" s="122"/>
      <c r="H71" s="123"/>
      <c r="I71" s="74">
        <f>(I68-I69)</f>
        <v>1.1147305694907406</v>
      </c>
      <c r="J71" s="74" t="e">
        <f t="shared" ref="J71:W71" si="14">(J68-J69)</f>
        <v>#VALUE!</v>
      </c>
      <c r="K71" s="74">
        <f t="shared" si="14"/>
        <v>-3.9777521122012969</v>
      </c>
      <c r="L71" s="74" t="e">
        <f t="shared" si="14"/>
        <v>#VALUE!</v>
      </c>
      <c r="M71" s="74">
        <f t="shared" si="14"/>
        <v>-5.5504540432617571</v>
      </c>
      <c r="N71" s="74">
        <f t="shared" si="14"/>
        <v>-1.6430920999582828</v>
      </c>
      <c r="O71" s="74">
        <f t="shared" si="14"/>
        <v>-7.1844710576101409</v>
      </c>
      <c r="P71" s="74">
        <f t="shared" si="14"/>
        <v>-5.3125169940480932</v>
      </c>
      <c r="Q71" s="74">
        <f t="shared" si="14"/>
        <v>3.3767768695311098</v>
      </c>
      <c r="R71" s="74" t="e">
        <f t="shared" si="14"/>
        <v>#VALUE!</v>
      </c>
      <c r="S71" s="74" t="e">
        <f t="shared" si="14"/>
        <v>#VALUE!</v>
      </c>
      <c r="T71" s="74" t="e">
        <f t="shared" si="14"/>
        <v>#VALUE!</v>
      </c>
      <c r="U71" s="74" t="e">
        <f t="shared" si="14"/>
        <v>#VALUE!</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Mid Devon</v>
      </c>
      <c r="G76" s="88"/>
      <c r="H76" s="89"/>
      <c r="I76" s="76">
        <f>VLOOKUP($F76,'SKILLED EMPLOYMENT'!$A$1506:$BW$1841,6,FALSE)</f>
        <v>51.900000000000006</v>
      </c>
      <c r="J76" s="77">
        <f>VLOOKUP($F76,'SKILLED EMPLOYMENT'!$A$1506:$BW$1841,10,FALSE)</f>
        <v>52.099999999999994</v>
      </c>
      <c r="K76" s="77">
        <f>VLOOKUP($F76,'SKILLED EMPLOYMENT'!$A$1506:$BW$1841,14,FALSE)</f>
        <v>55.5</v>
      </c>
      <c r="L76" s="77">
        <f>VLOOKUP($F76,'SKILLED EMPLOYMENT'!$A$1506:$BW$1841,18,FALSE)</f>
        <v>57.2</v>
      </c>
      <c r="M76" s="77">
        <f>VLOOKUP($F76,'SKILLED EMPLOYMENT'!$A$1506:$BW$1841,22,FALSE)</f>
        <v>55.9</v>
      </c>
      <c r="N76" s="77">
        <f>VLOOKUP($F76,'SKILLED EMPLOYMENT'!$A$1506:$BW$1841,26,FALSE)</f>
        <v>52.5</v>
      </c>
      <c r="O76" s="77">
        <f>VLOOKUP($F76,'SKILLED EMPLOYMENT'!$A$1506:$BW$1841,30,FALSE)</f>
        <v>61.2</v>
      </c>
      <c r="P76" s="77">
        <f>VLOOKUP($F76,'SKILLED EMPLOYMENT'!$A$1506:$BW$1841,34,FALSE)</f>
        <v>57.8</v>
      </c>
      <c r="Q76" s="77">
        <f>VLOOKUP($F76,'SKILLED EMPLOYMENT'!$A$1506:$BW$1841,38,FALSE)</f>
        <v>55.7</v>
      </c>
      <c r="R76" s="77">
        <f>VLOOKUP($F76,'SKILLED EMPLOYMENT'!$A$1506:$BW$1841,42,FALSE)</f>
        <v>60.800000000000004</v>
      </c>
      <c r="S76" s="77">
        <f>VLOOKUP($F76,'SKILLED EMPLOYMENT'!$A$1506:$BW$1841,46,FALSE)</f>
        <v>63.400000000000006</v>
      </c>
      <c r="T76" s="77">
        <f>VLOOKUP($F76,'SKILLED EMPLOYMENT'!$A$1506:$BW$1841,50,FALSE)</f>
        <v>67.399999999999991</v>
      </c>
      <c r="U76" s="77">
        <f>VLOOKUP($F76,'SKILLED EMPLOYMENT'!$A$1506:$BW$1841,54,FALSE)</f>
        <v>50.099999999999994</v>
      </c>
      <c r="V76" s="77">
        <f>VLOOKUP($F76,'SKILLED EMPLOYMENT'!$A$1506:$BW$1841,58,FALSE)</f>
        <v>53.4</v>
      </c>
      <c r="W76" s="77">
        <f>VLOOKUP($F76,'SKILLED EMPLOYMENT'!$A$1506:$BW$1841,62,FALSE)</f>
        <v>58</v>
      </c>
      <c r="X76" s="77">
        <f>VLOOKUP($F76,'SKILLED EMPLOYMENT'!$A$1506:$BW$1841,66,FALSE)</f>
        <v>55.8</v>
      </c>
      <c r="Y76" s="77">
        <f>VLOOKUP($F76,'SKILLED EMPLOYMENT'!$A$1506:$BW$1841,70,FALSE)</f>
        <v>57.1</v>
      </c>
      <c r="Z76" s="77">
        <f>VLOOKUP($F76,'SKILLED EMPLOYMENT'!$A$1506:$BW$1841,74,FALSE)</f>
        <v>60.3</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Mid Devon to Rural as a Region</v>
      </c>
      <c r="G79" s="122"/>
      <c r="H79" s="123"/>
      <c r="I79" s="74">
        <f>(I76-I77)</f>
        <v>-0.79999999999999716</v>
      </c>
      <c r="J79" s="74">
        <f t="shared" ref="J79:Z79" si="17">(J76-J77)</f>
        <v>-0.80000000000000426</v>
      </c>
      <c r="K79" s="74">
        <f t="shared" si="17"/>
        <v>2</v>
      </c>
      <c r="L79" s="74">
        <f t="shared" si="17"/>
        <v>3.2000000000000028</v>
      </c>
      <c r="M79" s="74">
        <f t="shared" si="17"/>
        <v>1.7999999999999972</v>
      </c>
      <c r="N79" s="74">
        <f t="shared" si="17"/>
        <v>-1.8999999999999986</v>
      </c>
      <c r="O79" s="74">
        <f t="shared" si="17"/>
        <v>5.8000000000000043</v>
      </c>
      <c r="P79" s="74">
        <f t="shared" si="17"/>
        <v>2.1999999999999957</v>
      </c>
      <c r="Q79" s="74">
        <f t="shared" si="17"/>
        <v>0.30000000000000426</v>
      </c>
      <c r="R79" s="74">
        <f t="shared" si="17"/>
        <v>4.6000000000000014</v>
      </c>
      <c r="S79" s="74">
        <f t="shared" si="17"/>
        <v>7.2000000000000028</v>
      </c>
      <c r="T79" s="74">
        <f t="shared" si="17"/>
        <v>10.599999999999994</v>
      </c>
      <c r="U79" s="74">
        <f t="shared" si="17"/>
        <v>-6.5000000000000071</v>
      </c>
      <c r="V79" s="74">
        <f t="shared" si="17"/>
        <v>-3.7000000000000028</v>
      </c>
      <c r="W79" s="74">
        <f t="shared" si="17"/>
        <v>0.20000000000000284</v>
      </c>
      <c r="X79" s="74">
        <f t="shared" si="17"/>
        <v>-3</v>
      </c>
      <c r="Y79" s="74">
        <f t="shared" si="17"/>
        <v>-1.6000000000000014</v>
      </c>
      <c r="Z79" s="74">
        <f t="shared" si="17"/>
        <v>1.8999999999999986</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8crkO4pnjgOBxNWDkjLLjkhdg6kFjkWnEiaeMGColKCQnkDgRj+ydCQNiws4vRczI3nAQfODDGykw/9/mvrRcw==" saltValue="tg4Vng9jVHMUH1FEF6E4dA=="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2022-08-02T11:30:41Z</dcterms:modified>
</cp:coreProperties>
</file>