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02FBA669-29D9-49E1-8A65-6EE8FF01A663}" xr6:coauthVersionLast="47" xr6:coauthVersionMax="47" xr10:uidLastSave="{ED1C6EB0-FEDC-46A1-9AF2-9D04D9641863}"/>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<sst xmlns="http://schemas.openxmlformats.org/spreadsheetml/2006/main" count="32859" uniqueCount="1676">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</sst>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Mid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22.83</c:v>
                </c:pt>
                <c:pt idx="1">
                  <c:v>22.67</c:v>
                </c:pt>
                <c:pt idx="2">
                  <c:v>23.84</c:v>
                </c:pt>
                <c:pt idx="3">
                  <c:v>24.47</c:v>
                </c:pt>
                <c:pt idx="4">
                  <c:v>24.78</c:v>
                </c:pt>
                <c:pt idx="5">
                  <c:v>24.86</c:v>
                </c:pt>
                <c:pt idx="6">
                  <c:v>24.68</c:v>
                </c:pt>
                <c:pt idx="7">
                  <c:v>24.71</c:v>
                </c:pt>
                <c:pt idx="8">
                  <c:v>24.89</c:v>
                </c:pt>
                <c:pt idx="9">
                  <c:v>25.4</c:v>
                </c:pt>
                <c:pt idx="10">
                  <c:v>26.51</c:v>
                </c:pt>
                <c:pt idx="11">
                  <c:v>28.06</c:v>
                </c:pt>
                <c:pt idx="12">
                  <c:v>29.71</c:v>
                </c:pt>
                <c:pt idx="13">
                  <c:v>30.6</c:v>
                </c:pt>
                <c:pt idx="14">
                  <c:v>30.97</c:v>
                </c:pt>
                <c:pt idx="15">
                  <c:v>30.99</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Mid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420.7</c:v>
                </c:pt>
                <c:pt idx="1">
                  <c:v>421.3</c:v>
                </c:pt>
                <c:pt idx="2">
                  <c:v>417.4</c:v>
                </c:pt>
                <c:pt idx="3">
                  <c:v>437.4</c:v>
                </c:pt>
                <c:pt idx="4">
                  <c:v>416.5</c:v>
                </c:pt>
                <c:pt idx="5">
                  <c:v>461.6</c:v>
                </c:pt>
                <c:pt idx="6">
                  <c:v>450.2</c:v>
                </c:pt>
                <c:pt idx="7">
                  <c:v>462.8</c:v>
                </c:pt>
                <c:pt idx="8">
                  <c:v>504.2</c:v>
                </c:pt>
                <c:pt idx="9">
                  <c:v>507</c:v>
                </c:pt>
                <c:pt idx="10">
                  <c:v>561.20000000000005</c:v>
                </c:pt>
                <c:pt idx="11">
                  <c:v>557.79999999999995</c:v>
                </c:pt>
                <c:pt idx="12">
                  <c:v>512.29999999999995</c:v>
                </c:pt>
                <c:pt idx="13">
                  <c:v>597.70000000000005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Mid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78.7</c:v>
                </c:pt>
                <c:pt idx="1">
                  <c:v>78.7</c:v>
                </c:pt>
                <c:pt idx="2">
                  <c:v>70.5</c:v>
                </c:pt>
                <c:pt idx="3">
                  <c:v>80.099999999999994</c:v>
                </c:pt>
                <c:pt idx="4">
                  <c:v>78.599999999999994</c:v>
                </c:pt>
                <c:pt idx="5">
                  <c:v>77.2</c:v>
                </c:pt>
                <c:pt idx="6">
                  <c:v>79.099999999999994</c:v>
                </c:pt>
                <c:pt idx="7">
                  <c:v>79.5</c:v>
                </c:pt>
                <c:pt idx="8">
                  <c:v>78.8</c:v>
                </c:pt>
                <c:pt idx="9">
                  <c:v>80.2</c:v>
                </c:pt>
                <c:pt idx="10">
                  <c:v>75.599999999999994</c:v>
                </c:pt>
                <c:pt idx="11">
                  <c:v>79.8</c:v>
                </c:pt>
                <c:pt idx="12">
                  <c:v>74</c:v>
                </c:pt>
                <c:pt idx="13">
                  <c:v>79.3</c:v>
                </c:pt>
                <c:pt idx="14">
                  <c:v>77.7</c:v>
                </c:pt>
                <c:pt idx="15">
                  <c:v>84.2</c:v>
                </c:pt>
                <c:pt idx="16">
                  <c:v>79.3</c:v>
                </c:pt>
                <c:pt idx="17">
                  <c:v>80</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Mid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14597</c:v>
                </c:pt>
                <c:pt idx="1">
                  <c:v>15136</c:v>
                </c:pt>
                <c:pt idx="2">
                  <c:v>15298</c:v>
                </c:pt>
                <c:pt idx="3">
                  <c:v>15826</c:v>
                </c:pt>
                <c:pt idx="4">
                  <c:v>16726</c:v>
                </c:pt>
                <c:pt idx="5">
                  <c:v>17135</c:v>
                </c:pt>
                <c:pt idx="6">
                  <c:v>17212</c:v>
                </c:pt>
                <c:pt idx="7">
                  <c:v>17256</c:v>
                </c:pt>
                <c:pt idx="8">
                  <c:v>17932</c:v>
                </c:pt>
                <c:pt idx="9">
                  <c:v>18371</c:v>
                </c:pt>
                <c:pt idx="10">
                  <c:v>18761</c:v>
                </c:pt>
                <c:pt idx="11">
                  <c:v>19891</c:v>
                </c:pt>
                <c:pt idx="12">
                  <c:v>20030</c:v>
                </c:pt>
                <c:pt idx="13">
                  <c:v>20417</c:v>
                </c:pt>
                <c:pt idx="14">
                  <c:v>21036</c:v>
                </c:pt>
                <c:pt idx="15">
                  <c:v>21280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Mid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28.8</c:v>
                </c:pt>
                <c:pt idx="1">
                  <c:v>22.4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Mid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19.8</c:v>
                </c:pt>
                <c:pt idx="1">
                  <c:v>19.899999999999999</c:v>
                </c:pt>
                <c:pt idx="2">
                  <c:v>24.5</c:v>
                </c:pt>
                <c:pt idx="3">
                  <c:v>18.399999999999999</c:v>
                </c:pt>
                <c:pt idx="4">
                  <c:v>17.600000000000001</c:v>
                </c:pt>
                <c:pt idx="5">
                  <c:v>19.3</c:v>
                </c:pt>
                <c:pt idx="6">
                  <c:v>16.2</c:v>
                </c:pt>
                <c:pt idx="7">
                  <c:v>17</c:v>
                </c:pt>
                <c:pt idx="8">
                  <c:v>18.100000000000001</c:v>
                </c:pt>
                <c:pt idx="9">
                  <c:v>18.5</c:v>
                </c:pt>
                <c:pt idx="10">
                  <c:v>22.4</c:v>
                </c:pt>
                <c:pt idx="11">
                  <c:v>20.2</c:v>
                </c:pt>
                <c:pt idx="12">
                  <c:v>21.2</c:v>
                </c:pt>
                <c:pt idx="13">
                  <c:v>17.8</c:v>
                </c:pt>
                <c:pt idx="14">
                  <c:v>17.899999999999999</c:v>
                </c:pt>
                <c:pt idx="15">
                  <c:v>13.9</c:v>
                </c:pt>
                <c:pt idx="16">
                  <c:v>18.100000000000001</c:v>
                </c:pt>
                <c:pt idx="17">
                  <c:v>19.399999999999999</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Mid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34.300000000000004</c:v>
                </c:pt>
                <c:pt idx="1">
                  <c:v>50.5</c:v>
                </c:pt>
                <c:pt idx="2">
                  <c:v>33.1</c:v>
                </c:pt>
                <c:pt idx="3">
                  <c:v>36.700000000000003</c:v>
                </c:pt>
                <c:pt idx="4">
                  <c:v>14.800000000000011</c:v>
                </c:pt>
                <c:pt idx="5">
                  <c:v>31.099999999999994</c:v>
                </c:pt>
                <c:pt idx="6">
                  <c:v>29.6</c:v>
                </c:pt>
                <c:pt idx="7">
                  <c:v>22.800000000000004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Mid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4.1640067935710769</c:v>
                </c:pt>
                <c:pt idx="2">
                  <c:v>19.61672005692246</c:v>
                </c:pt>
                <c:pt idx="3">
                  <c:v>5.6061802952257187</c:v>
                </c:pt>
                <c:pt idx="4">
                  <c:v>8.0520402430927955</c:v>
                </c:pt>
                <c:pt idx="5">
                  <c:v>8.5346567050226323</c:v>
                </c:pt>
                <c:pt idx="6">
                  <c:v>0</c:v>
                </c:pt>
                <c:pt idx="7">
                  <c:v>2.9608980637384161</c:v>
                </c:pt>
                <c:pt idx="8">
                  <c:v>7.5351858534824974</c:v>
                </c:pt>
                <c:pt idx="9">
                  <c:v>19.81177773164487</c:v>
                </c:pt>
                <c:pt idx="10">
                  <c:v>6.1402350455565822</c:v>
                </c:pt>
                <c:pt idx="11">
                  <c:v>0</c:v>
                </c:pt>
                <c:pt idx="12">
                  <c:v>0</c:v>
                </c:pt>
                <c:pt idx="13">
                  <c:v>7.2710951526032312</c:v>
                </c:pt>
                <c:pt idx="14">
                  <c:v>10.961624385642656</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Mid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51.9</c:v>
                </c:pt>
                <c:pt idx="1">
                  <c:v>52.2</c:v>
                </c:pt>
                <c:pt idx="2">
                  <c:v>54.5</c:v>
                </c:pt>
                <c:pt idx="3">
                  <c:v>55.2</c:v>
                </c:pt>
                <c:pt idx="4">
                  <c:v>52.2</c:v>
                </c:pt>
                <c:pt idx="5">
                  <c:v>57.7</c:v>
                </c:pt>
                <c:pt idx="6">
                  <c:v>56.6</c:v>
                </c:pt>
                <c:pt idx="7">
                  <c:v>56.400000000000006</c:v>
                </c:pt>
                <c:pt idx="8">
                  <c:v>49.900000000000006</c:v>
                </c:pt>
                <c:pt idx="9">
                  <c:v>60.8</c:v>
                </c:pt>
                <c:pt idx="10">
                  <c:v>58</c:v>
                </c:pt>
                <c:pt idx="11">
                  <c:v>57.8</c:v>
                </c:pt>
                <c:pt idx="12">
                  <c:v>55.300000000000004</c:v>
                </c:pt>
                <c:pt idx="13">
                  <c:v>53.5</c:v>
                </c:pt>
                <c:pt idx="14">
                  <c:v>58.7</c:v>
                </c:pt>
                <c:pt idx="15">
                  <c:v>52.6</c:v>
                </c:pt>
                <c:pt idx="16">
                  <c:v>63.400000000000006</c:v>
                </c:pt>
                <c:pt idx="17">
                  <c:v>59.2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Mid Suffolk has been consistently above both the rural and England situations from 2004 to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411480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1734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Mid Suffolk, the rate of increase is below both the rural and England situations and thus drops Mid Suffolk's position below both of these comparators by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Mid Suffolk dropped between 2017 and 2018 taking it from being above both 'Rural as a Region' and England to being below.</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Mid Suffolk's economic inactivity rate has in general been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Mid Suffolk shows a general downward trend taking it in 2021 below that seen for 'Rural as a Region' and England.</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Mid Suffolk has been less stable and has in certain years been significantly greater and in other years significantly less than both the England and rural average positions.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Mid Suffolk in general has a proportion of employed people in skilled employment that is in line with that of 'Rural as a Region' and England overall.</a:t>
          </a:r>
          <a:endParaRPr lang="en-GB" sz="1100">
            <a:latin typeface="Avenir Next LT Pro" panose="020B0504020202020204" pitchFamily="34" charset="0"/>
          </a:endParaRPr>
        </a:p>
      </xdr:txBody>
    </xdr:sp>
    <xdr:clientData/>
  </xdr:twoCellAnchor>
  <xdr:twoCellAnchor>
    <xdr:from>
      <xdr:col>0</xdr:col>
      <xdr:colOff>594360</xdr:colOff>
      <xdr:row>20</xdr:row>
      <xdr:rowOff>601980</xdr:rowOff>
    </xdr:from>
    <xdr:to>
      <xdr:col>1</xdr:col>
      <xdr:colOff>2575560</xdr:colOff>
      <xdr:row>22</xdr:row>
      <xdr:rowOff>129540</xdr:rowOff>
    </xdr:to>
    <xdr:sp macro="" textlink="">
      <xdr:nvSpPr>
        <xdr:cNvPr id="20" name="TextBox 19">
          <a:extLst>
            <a:ext uri="{FF2B5EF4-FFF2-40B4-BE49-F238E27FC236}">
              <a16:creationId xmlns:a16="http://schemas.microsoft.com/office/drawing/2014/main" id="{E0AE8C46-7A14-4EF1-B612-767AF7614267}"/>
            </a:ext>
          </a:extLst>
        </xdr:cNvPr>
        <xdr:cNvSpPr txBox="1"/>
      </xdr:nvSpPr>
      <xdr:spPr>
        <a:xfrm>
          <a:off x="594360" y="75285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Mid Suffolk has fluctauted a little over the years, but is consistently in line with the rural average situation.</a:t>
          </a:r>
          <a:endParaRPr lang="en-GB" sz="1100">
            <a:latin typeface="Avenir Next LT Pro" panose="020B0504020202020204" pitchFamily="34" charset="0"/>
          </a:endParaRPr>
        </a:p>
      </xdr:txBody>
    </xdr:sp>
    <xdr:clientData/>
  </xdr:twoCellAnchor>
  <xdr:twoCellAnchor>
    <xdr:from>
      <xdr:col>0</xdr:col>
      <xdr:colOff>556260</xdr:colOff>
      <xdr:row>12</xdr:row>
      <xdr:rowOff>457200</xdr:rowOff>
    </xdr:from>
    <xdr:to>
      <xdr:col>1</xdr:col>
      <xdr:colOff>2537460</xdr:colOff>
      <xdr:row>13</xdr:row>
      <xdr:rowOff>609600</xdr:rowOff>
    </xdr:to>
    <xdr:sp macro="" textlink="">
      <xdr:nvSpPr>
        <xdr:cNvPr id="21" name="TextBox 20">
          <a:extLst>
            <a:ext uri="{FF2B5EF4-FFF2-40B4-BE49-F238E27FC236}">
              <a16:creationId xmlns:a16="http://schemas.microsoft.com/office/drawing/2014/main" id="{9560ACD6-236A-4D62-8E43-A989BEA9AF73}"/>
            </a:ext>
          </a:extLst>
        </xdr:cNvPr>
        <xdr:cNvSpPr txBox="1"/>
      </xdr:nvSpPr>
      <xdr:spPr>
        <a:xfrm>
          <a:off x="556260" y="34442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Mid Suffolk follows from 2004 to 2019 a similar path to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379</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Mid Suffolk</v>
      </c>
      <c r="G12" s="88" t="str">
        <f>IFERROR(VLOOKUP(F12,GVA!B244:B552,1,FALSE),VLOOKUP(F12,GVA!B6:C230,2,FALSE))</f>
        <v>Mid Suffolk</v>
      </c>
      <c r="H12" s="89" t="str">
        <f>IF(F12=G12,"",G12)</f>
        <v/>
      </c>
      <c r="I12" s="76">
        <f>IFERROR(VLOOKUP($F12,GVA!$B$7:$S$230,GVA!D$3,FALSE),VLOOKUP($F12,GVA!$B$244:$T$554,GVA!E$3,FALSE))</f>
        <v>22.83</v>
      </c>
      <c r="J12" s="77">
        <f>IFERROR(VLOOKUP($F12,GVA!$B$7:$S$230,GVA!E$3,FALSE),VLOOKUP($F12,GVA!$B$244:$T$554,GVA!F$3,FALSE))</f>
        <v>22.67</v>
      </c>
      <c r="K12" s="77">
        <f>IFERROR(VLOOKUP($F12,GVA!$B$7:$S$230,GVA!F$3,FALSE),VLOOKUP($F12,GVA!$B$244:$T$554,GVA!G$3,FALSE))</f>
        <v>23.84</v>
      </c>
      <c r="L12" s="77">
        <f>IFERROR(VLOOKUP($F12,GVA!$B$7:$S$230,GVA!G$3,FALSE),VLOOKUP($F12,GVA!$B$244:$T$554,GVA!H$3,FALSE))</f>
        <v>24.47</v>
      </c>
      <c r="M12" s="77">
        <f>IFERROR(VLOOKUP($F12,GVA!$B$7:$S$230,GVA!H$3,FALSE),VLOOKUP($F12,GVA!$B$244:$T$554,GVA!I$3,FALSE))</f>
        <v>24.78</v>
      </c>
      <c r="N12" s="77">
        <f>IFERROR(VLOOKUP($F12,GVA!$B$7:$S$230,GVA!I$3,FALSE),VLOOKUP($F12,GVA!$B$244:$T$554,GVA!J$3,FALSE))</f>
        <v>24.86</v>
      </c>
      <c r="O12" s="77">
        <f>IFERROR(VLOOKUP($F12,GVA!$B$7:$S$230,GVA!J$3,FALSE),VLOOKUP($F12,GVA!$B$244:$T$554,GVA!K$3,FALSE))</f>
        <v>24.68</v>
      </c>
      <c r="P12" s="77">
        <f>IFERROR(VLOOKUP($F12,GVA!$B$7:$S$230,GVA!K$3,FALSE),VLOOKUP($F12,GVA!$B$244:$T$554,GVA!L$3,FALSE))</f>
        <v>24.71</v>
      </c>
      <c r="Q12" s="77">
        <f>IFERROR(VLOOKUP($F12,GVA!$B$7:$S$230,GVA!L$3,FALSE),VLOOKUP($F12,GVA!$B$244:$T$554,GVA!M$3,FALSE))</f>
        <v>24.89</v>
      </c>
      <c r="R12" s="77">
        <f>IFERROR(VLOOKUP($F12,GVA!$B$7:$S$230,GVA!M$3,FALSE),VLOOKUP($F12,GVA!$B$244:$T$554,GVA!N$3,FALSE))</f>
        <v>25.4</v>
      </c>
      <c r="S12" s="77">
        <f>IFERROR(VLOOKUP($F12,GVA!$B$7:$S$230,GVA!N$3,FALSE),VLOOKUP($F12,GVA!$B$244:$T$554,GVA!O$3,FALSE))</f>
        <v>26.51</v>
      </c>
      <c r="T12" s="77">
        <f>IFERROR(VLOOKUP($F12,GVA!$B$7:$S$230,GVA!O$3,FALSE),VLOOKUP($F12,GVA!$B$244:$T$554,GVA!P$3,FALSE))</f>
        <v>28.06</v>
      </c>
      <c r="U12" s="77">
        <f>IFERROR(VLOOKUP($F12,GVA!$B$7:$S$230,GVA!P$3,FALSE),VLOOKUP($F12,GVA!$B$244:$T$554,GVA!Q$3,FALSE))</f>
        <v>29.71</v>
      </c>
      <c r="V12" s="77">
        <f>IFERROR(VLOOKUP($F12,GVA!$B$7:$S$230,GVA!Q$3,FALSE),VLOOKUP($F12,GVA!$B$244:$T$554,GVA!R$3,FALSE))</f>
        <v>30.6</v>
      </c>
      <c r="W12" s="77">
        <f>IFERROR(VLOOKUP($F12,GVA!$B$7:$S$230,GVA!R$3,FALSE),VLOOKUP($F12,GVA!$B$244:$T$554,GVA!S$3,FALSE))</f>
        <v>30.97</v>
      </c>
      <c r="X12" s="77">
        <f>IFERROR(VLOOKUP($F12,GVA!$B$7:$S$230,GVA!S$3,FALSE),VLOOKUP($F12,GVA!$B$244:$T$554,GVA!T$3,FALSE))</f>
        <v>30.99</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Mid Suffolk to Rural as a Region</v>
      </c>
      <c r="G15" s="122"/>
      <c r="H15" s="123"/>
      <c r="I15" s="74">
        <f>100*((I12-I13)/I13)</f>
        <v>-3.0166332047112698</v>
      </c>
      <c r="J15" s="74">
        <f t="shared" ref="J15:X15" si="0">100*((J12-J13)/J13)</f>
        <v>-3.4282004990161625</v>
      </c>
      <c r="K15" s="74">
        <f t="shared" si="0"/>
        <v>-1.90886247079402</v>
      </c>
      <c r="L15" s="74">
        <f t="shared" si="0"/>
        <v>-1.4838672571461711</v>
      </c>
      <c r="M15" s="74">
        <f t="shared" si="0"/>
        <v>-1.9182652210174937</v>
      </c>
      <c r="N15" s="74">
        <f t="shared" si="0"/>
        <v>-2.4054661613022383</v>
      </c>
      <c r="O15" s="74">
        <f t="shared" si="0"/>
        <v>-4.3044355304033664</v>
      </c>
      <c r="P15" s="74">
        <f t="shared" si="0"/>
        <v>-5.5956555554039316</v>
      </c>
      <c r="Q15" s="74">
        <f t="shared" si="0"/>
        <v>-6.816419307394046</v>
      </c>
      <c r="R15" s="74">
        <f t="shared" si="0"/>
        <v>-6.5280534125409515</v>
      </c>
      <c r="S15" s="74">
        <f t="shared" si="0"/>
        <v>-4.0349584351446319</v>
      </c>
      <c r="T15" s="74">
        <f t="shared" si="0"/>
        <v>-0.31297051310245771</v>
      </c>
      <c r="U15" s="74">
        <f t="shared" si="0"/>
        <v>3.0272756170762882</v>
      </c>
      <c r="V15" s="74">
        <f t="shared" si="0"/>
        <v>3.3056688704459298</v>
      </c>
      <c r="W15" s="74">
        <f t="shared" si="0"/>
        <v>2.4329741031386369</v>
      </c>
      <c r="X15" s="74">
        <f t="shared" si="0"/>
        <v>1.4359138217907983</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Mid Suffolk</v>
      </c>
      <c r="G20" s="88"/>
      <c r="H20" s="89"/>
      <c r="I20" s="80">
        <f>IF(VLOOKUP($F20,PAY!$A$11:$AE$349,4,FALSE)="-",#N/A,VLOOKUP($F20,PAY!$A$11:$AE$349,4,FALSE))</f>
        <v>420.7</v>
      </c>
      <c r="J20" s="80">
        <f>IF(VLOOKUP($F20,PAY!$A$11:$AE$349,6,FALSE)="-",#N/A,VLOOKUP($F20,PAY!$A$11:$AE$349,6,FALSE))</f>
        <v>421.3</v>
      </c>
      <c r="K20" s="80">
        <f>IF(VLOOKUP($F20,PAY!$A$11:$AE$349,8,FALSE)="-",#N/A,VLOOKUP($F20,PAY!$A$11:$AE$349,8,FALSE))</f>
        <v>417.4</v>
      </c>
      <c r="L20" s="80">
        <f>IF(VLOOKUP($F20,PAY!$A$11:$AE$349,10,FALSE)="-",#N/A,VLOOKUP($F20,PAY!$A$11:$AE$349,10,FALSE))</f>
        <v>437.4</v>
      </c>
      <c r="M20" s="80">
        <f>IF(VLOOKUP($F20,PAY!$A$11:$AE$349,12,FALSE)="-",#N/A,VLOOKUP($F20,PAY!$A$11:$AE$349,12,FALSE))</f>
        <v>416.5</v>
      </c>
      <c r="N20" s="80">
        <f>IF(VLOOKUP($F20,PAY!$A$11:$AE$349,14,FALSE)="-",#N/A,VLOOKUP($F20,PAY!$A$11:$AE$349,14,FALSE))</f>
        <v>461.6</v>
      </c>
      <c r="O20" s="80">
        <f>IF(VLOOKUP($F20,PAY!$A$11:$AE$349,16,FALSE)="-",#N/A,VLOOKUP($F20,PAY!$A$11:$AE$349,16,FALSE))</f>
        <v>450.2</v>
      </c>
      <c r="P20" s="80">
        <f>IF(VLOOKUP($F20,PAY!$A$11:$AE$349,18,FALSE)="-",#N/A,VLOOKUP($F20,PAY!$A$11:$AE$349,18,FALSE))</f>
        <v>462.8</v>
      </c>
      <c r="Q20" s="80">
        <f>IF(VLOOKUP($F20,PAY!$A$11:$AE$349,20,FALSE)="-",#N/A,VLOOKUP($F20,PAY!$A$11:$AE$349,20,FALSE))</f>
        <v>504.2</v>
      </c>
      <c r="R20" s="80">
        <f>IF(VLOOKUP($F20,PAY!$A$11:$AE$349,22,FALSE)="-",#N/A,VLOOKUP($F20,PAY!$A$11:$AE$349,22,FALSE))</f>
        <v>507</v>
      </c>
      <c r="S20" s="80">
        <f>IF(VLOOKUP($F20,PAY!$A$11:$AE$349,24,FALSE)="-",#N/A,VLOOKUP($F20,PAY!$A$11:$AE$349,24,FALSE))</f>
        <v>561.20000000000005</v>
      </c>
      <c r="T20" s="80">
        <f>IF(VLOOKUP($F20,PAY!$A$11:$AE$349,26,FALSE)="-",#N/A,VLOOKUP($F20,PAY!$A$11:$AE$349,26,FALSE))</f>
        <v>557.79999999999995</v>
      </c>
      <c r="U20" s="80">
        <f>IF(VLOOKUP($F20,PAY!$A$11:$AE$349,28,FALSE)="-",#N/A,VLOOKUP($F20,PAY!$A$11:$AE$349,28,FALSE))</f>
        <v>512.29999999999995</v>
      </c>
      <c r="V20" s="80">
        <f>IF(VLOOKUP($F20,PAY!$A$11:$AE$349,30,FALSE)="-",#N/A,VLOOKUP($F20,PAY!$A$11:$AE$349,30,FALSE))</f>
        <v>597.70000000000005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Mid Suffolk to Rural as a Region</v>
      </c>
      <c r="G23" s="122"/>
      <c r="H23" s="123"/>
      <c r="I23" s="74">
        <f>100*((I20-I21)/I21)</f>
        <v>-2.838942420131906</v>
      </c>
      <c r="J23" s="74">
        <f t="shared" ref="J23:V23" si="2">100*((J20-J21)/J21)</f>
        <v>-3.5761286261944267</v>
      </c>
      <c r="K23" s="74">
        <f t="shared" si="2"/>
        <v>-6.8537805536017737</v>
      </c>
      <c r="L23" s="74">
        <f t="shared" si="2"/>
        <v>-2.940879061615195</v>
      </c>
      <c r="M23" s="74">
        <f t="shared" si="2"/>
        <v>-8.5104075719743637</v>
      </c>
      <c r="N23" s="74">
        <f t="shared" si="2"/>
        <v>-0.33943143867550057</v>
      </c>
      <c r="O23" s="74">
        <f t="shared" si="2"/>
        <v>-4.3760452123226177</v>
      </c>
      <c r="P23" s="74">
        <f t="shared" si="2"/>
        <v>-2.5317974242153629</v>
      </c>
      <c r="Q23" s="74">
        <f t="shared" si="2"/>
        <v>3.0067935379928539</v>
      </c>
      <c r="R23" s="74">
        <f t="shared" si="2"/>
        <v>0.58387011715074588</v>
      </c>
      <c r="S23" s="74">
        <f t="shared" si="2"/>
        <v>9.0925469799373868</v>
      </c>
      <c r="T23" s="74">
        <f t="shared" si="2"/>
        <v>4.5158786278153151</v>
      </c>
      <c r="U23" s="74">
        <f t="shared" si="2"/>
        <v>-3.530412686888825</v>
      </c>
      <c r="V23" s="74">
        <f t="shared" si="2"/>
        <v>5.9274316669193103</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Mid Suffolk</v>
      </c>
      <c r="G28" s="88"/>
      <c r="H28" s="89"/>
      <c r="I28" s="76">
        <f>VLOOKUP($F28,EMPLOYMENT!$A$6:$BW$345,6,FALSE)</f>
        <v>78.7</v>
      </c>
      <c r="J28" s="77">
        <f>VLOOKUP($F28,EMPLOYMENT!$A$6:$BW$345,10,FALSE)</f>
        <v>78.7</v>
      </c>
      <c r="K28" s="77">
        <f>VLOOKUP($F28,EMPLOYMENT!$A$6:$BW$345,14,FALSE)</f>
        <v>70.5</v>
      </c>
      <c r="L28" s="77">
        <f>VLOOKUP($F28,EMPLOYMENT!$A$6:$BW$345,18,FALSE)</f>
        <v>80.099999999999994</v>
      </c>
      <c r="M28" s="77">
        <f>VLOOKUP($F28,EMPLOYMENT!$A$6:$BW$345,22,FALSE)</f>
        <v>78.599999999999994</v>
      </c>
      <c r="N28" s="77">
        <f>VLOOKUP($F28,EMPLOYMENT!$A$6:$BW$345,26,FALSE)</f>
        <v>77.2</v>
      </c>
      <c r="O28" s="77">
        <f>VLOOKUP($F28,EMPLOYMENT!$A$6:$BW$345,30,FALSE)</f>
        <v>79.099999999999994</v>
      </c>
      <c r="P28" s="77">
        <f>VLOOKUP($F28,EMPLOYMENT!$A$6:$BW$345,34,FALSE)</f>
        <v>79.5</v>
      </c>
      <c r="Q28" s="77">
        <f>VLOOKUP($F28,EMPLOYMENT!$A$6:$BW$345,38,FALSE)</f>
        <v>78.8</v>
      </c>
      <c r="R28" s="77">
        <f>VLOOKUP($F28,EMPLOYMENT!$A$6:$BW$345,42,FALSE)</f>
        <v>80.2</v>
      </c>
      <c r="S28" s="77">
        <f>VLOOKUP($F28,EMPLOYMENT!$A$6:$BW$345,46,FALSE)</f>
        <v>75.599999999999994</v>
      </c>
      <c r="T28" s="77">
        <f>VLOOKUP($F28,EMPLOYMENT!$A$6:$BW$345,50,FALSE)</f>
        <v>79.8</v>
      </c>
      <c r="U28" s="77">
        <f>VLOOKUP($F28,EMPLOYMENT!$A$6:$BW$345,54,FALSE)</f>
        <v>74</v>
      </c>
      <c r="V28" s="77">
        <f>VLOOKUP($F28,EMPLOYMENT!$A$6:$BW$345,58,FALSE)</f>
        <v>79.3</v>
      </c>
      <c r="W28" s="77">
        <f>VLOOKUP($F28,EMPLOYMENT!$A$6:$BW$345,62,FALSE)</f>
        <v>77.7</v>
      </c>
      <c r="X28" s="77">
        <f>VLOOKUP($F28,EMPLOYMENT!$A$6:$BW$345,66,FALSE)</f>
        <v>84.2</v>
      </c>
      <c r="Y28" s="77">
        <f>VLOOKUP($F28,EMPLOYMENT!$A$6:$BW$345,70,FALSE)</f>
        <v>79.3</v>
      </c>
      <c r="Z28" s="77">
        <f>VLOOKUP($F28,EMPLOYMENT!$A$6:$BW$345,74,FALSE)</f>
        <v>80</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Mid Suffolk to Rural as a Region</v>
      </c>
      <c r="G31" s="122"/>
      <c r="H31" s="123"/>
      <c r="I31" s="74">
        <f>(I28-I29)</f>
        <v>2.5886580805982646</v>
      </c>
      <c r="J31" s="74">
        <f t="shared" ref="J31:Z31" si="4">(J28-J29)</f>
        <v>2.3870245333170459</v>
      </c>
      <c r="K31" s="74">
        <f t="shared" si="4"/>
        <v>-5.3731888994867631</v>
      </c>
      <c r="L31" s="74">
        <f t="shared" si="4"/>
        <v>4.4595316973721566</v>
      </c>
      <c r="M31" s="74">
        <f t="shared" si="4"/>
        <v>2.8644756266682521</v>
      </c>
      <c r="N31" s="74">
        <f t="shared" si="4"/>
        <v>2.6904601571268216</v>
      </c>
      <c r="O31" s="74">
        <f t="shared" si="4"/>
        <v>5.5528668610301253</v>
      </c>
      <c r="P31" s="74">
        <f t="shared" si="4"/>
        <v>5.7657045967223866</v>
      </c>
      <c r="Q31" s="74">
        <f t="shared" si="4"/>
        <v>4.7668425245374237</v>
      </c>
      <c r="R31" s="74">
        <f t="shared" si="4"/>
        <v>5.4555250700997959</v>
      </c>
      <c r="S31" s="74">
        <f t="shared" si="4"/>
        <v>-0.5088603400756142</v>
      </c>
      <c r="T31" s="74">
        <f t="shared" si="4"/>
        <v>2.6094680243909778</v>
      </c>
      <c r="U31" s="74">
        <f t="shared" si="4"/>
        <v>-2.971632481708042</v>
      </c>
      <c r="V31" s="74">
        <f t="shared" si="4"/>
        <v>1.2672131147540995</v>
      </c>
      <c r="W31" s="74">
        <f t="shared" si="4"/>
        <v>-0.34815689341414213</v>
      </c>
      <c r="X31" s="74">
        <f t="shared" si="4"/>
        <v>5.6087006210432975</v>
      </c>
      <c r="Y31" s="74">
        <f t="shared" si="4"/>
        <v>2.2856537038707927</v>
      </c>
      <c r="Z31" s="74">
        <f t="shared" si="4"/>
        <v>3.8442419221209576</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Mid Suffolk</v>
      </c>
      <c r="G36" s="88" t="str">
        <f>IFERROR(VLOOKUP(F36,GDHI!B338:C574,2,FALSE),VLOOKUP(F36,GDHI!C3:C336,1,FALSE))</f>
        <v>Mid Suffolk</v>
      </c>
      <c r="H36" s="89" t="str">
        <f>IF(F36=G36,"",G36)</f>
        <v/>
      </c>
      <c r="I36" s="83">
        <f>IFERROR(VLOOKUP($F36,GDHI!$B$338:$U$574,GDHI!G$578,FALSE),VLOOKUP($F36,GDHI!$C$3:$U$336,GDHI!F$578,FALSE))</f>
        <v>14597</v>
      </c>
      <c r="J36" s="84">
        <f>IFERROR(VLOOKUP($F36,GDHI!$B$338:$U$574,GDHI!H$578,FALSE),VLOOKUP($F36,GDHI!$C$3:$U$336,GDHI!G$578,FALSE))</f>
        <v>15136</v>
      </c>
      <c r="K36" s="84">
        <f>IFERROR(VLOOKUP($F36,GDHI!$B$338:$U$574,GDHI!I$578,FALSE),VLOOKUP($F36,GDHI!$C$3:$U$336,GDHI!H$578,FALSE))</f>
        <v>15298</v>
      </c>
      <c r="L36" s="84">
        <f>IFERROR(VLOOKUP($F36,GDHI!$B$338:$U$574,GDHI!J$578,FALSE),VLOOKUP($F36,GDHI!$C$3:$U$336,GDHI!I$578,FALSE))</f>
        <v>15826</v>
      </c>
      <c r="M36" s="84">
        <f>IFERROR(VLOOKUP($F36,GDHI!$B$338:$U$574,GDHI!K$578,FALSE),VLOOKUP($F36,GDHI!$C$3:$U$336,GDHI!J$578,FALSE))</f>
        <v>16726</v>
      </c>
      <c r="N36" s="84">
        <f>IFERROR(VLOOKUP($F36,GDHI!$B$338:$U$574,GDHI!L$578,FALSE),VLOOKUP($F36,GDHI!$C$3:$U$336,GDHI!K$578,FALSE))</f>
        <v>17135</v>
      </c>
      <c r="O36" s="84">
        <f>IFERROR(VLOOKUP($F36,GDHI!$B$338:$U$574,GDHI!M$578,FALSE),VLOOKUP($F36,GDHI!$C$3:$U$336,GDHI!L$578,FALSE))</f>
        <v>17212</v>
      </c>
      <c r="P36" s="84">
        <f>IFERROR(VLOOKUP($F36,GDHI!$B$338:$U$574,GDHI!N$578,FALSE),VLOOKUP($F36,GDHI!$C$3:$U$336,GDHI!M$578,FALSE))</f>
        <v>17256</v>
      </c>
      <c r="Q36" s="84">
        <f>IFERROR(VLOOKUP($F36,GDHI!$B$338:$U$574,GDHI!O$578,FALSE),VLOOKUP($F36,GDHI!$C$3:$U$336,GDHI!N$578,FALSE))</f>
        <v>17932</v>
      </c>
      <c r="R36" s="84">
        <f>IFERROR(VLOOKUP($F36,GDHI!$B$338:$U$574,GDHI!P$578,FALSE),VLOOKUP($F36,GDHI!$C$3:$U$336,GDHI!O$578,FALSE))</f>
        <v>18371</v>
      </c>
      <c r="S36" s="84">
        <f>IFERROR(VLOOKUP($F36,GDHI!$B$338:$U$574,GDHI!Q$578,FALSE),VLOOKUP($F36,GDHI!$C$3:$U$336,GDHI!P$578,FALSE))</f>
        <v>18761</v>
      </c>
      <c r="T36" s="84">
        <f>IFERROR(VLOOKUP($F36,GDHI!$B$338:$U$574,GDHI!R$578,FALSE),VLOOKUP($F36,GDHI!$C$3:$U$336,GDHI!Q$578,FALSE))</f>
        <v>19891</v>
      </c>
      <c r="U36" s="84">
        <f>IFERROR(VLOOKUP($F36,GDHI!$B$338:$U$574,GDHI!S$578,FALSE),VLOOKUP($F36,GDHI!$C$3:$U$336,GDHI!R$578,FALSE))</f>
        <v>20030</v>
      </c>
      <c r="V36" s="84">
        <f>IFERROR(VLOOKUP($F36,GDHI!$B$338:$U$574,GDHI!T$578,FALSE),VLOOKUP($F36,GDHI!$C$3:$U$336,GDHI!S$578,FALSE))</f>
        <v>20417</v>
      </c>
      <c r="W36" s="84">
        <f>IFERROR(VLOOKUP($F36,GDHI!$B$338:$U$574,GDHI!U$578,FALSE),VLOOKUP($F36,GDHI!$C$3:$U$336,GDHI!T$578,FALSE))</f>
        <v>21036</v>
      </c>
      <c r="X36" s="84">
        <f>IFERROR(VLOOKUP($F36,GDHI!$B$338:$U$574,GDHI!V$578,FALSE),VLOOKUP($F36,GDHI!$C$3:$U$336,GDHI!U$578,FALSE))</f>
        <v>21280</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Mid Suffolk to Rural as a Region</v>
      </c>
      <c r="G39" s="122"/>
      <c r="H39" s="123"/>
      <c r="I39" s="74">
        <f>100*((I36-I37)/I37)</f>
        <v>-0.76481185628335424</v>
      </c>
      <c r="J39" s="74">
        <f t="shared" ref="J39:X39" si="6">100*((J36-J37)/J37)</f>
        <v>-1.3391211634221403</v>
      </c>
      <c r="K39" s="74">
        <f t="shared" si="6"/>
        <v>-3.9322503739820576</v>
      </c>
      <c r="L39" s="74">
        <f t="shared" si="6"/>
        <v>-4.4795423240333827</v>
      </c>
      <c r="M39" s="74">
        <f t="shared" si="6"/>
        <v>-1.9771537887831185</v>
      </c>
      <c r="N39" s="74">
        <f t="shared" si="6"/>
        <v>-0.91318699853023366</v>
      </c>
      <c r="O39" s="74">
        <f t="shared" si="6"/>
        <v>-1.6901877721982979</v>
      </c>
      <c r="P39" s="74">
        <f t="shared" si="6"/>
        <v>-3.0564391213506616</v>
      </c>
      <c r="Q39" s="74">
        <f t="shared" si="6"/>
        <v>-2.3649607784419411</v>
      </c>
      <c r="R39" s="74">
        <f t="shared" si="6"/>
        <v>-2.664734885780411</v>
      </c>
      <c r="S39" s="74">
        <f t="shared" si="6"/>
        <v>-3.2740490048592377</v>
      </c>
      <c r="T39" s="74">
        <f t="shared" si="6"/>
        <v>-2.773229242677627</v>
      </c>
      <c r="U39" s="74">
        <f t="shared" si="6"/>
        <v>-2.8844000434056905</v>
      </c>
      <c r="V39" s="74">
        <f t="shared" si="6"/>
        <v>-2.6161475122664748</v>
      </c>
      <c r="W39" s="74">
        <f t="shared" si="6"/>
        <v>-3.6896133356733918</v>
      </c>
      <c r="X39" s="74">
        <f t="shared" si="6"/>
        <v>-4.4245459615210914</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Mid Suffolk</v>
      </c>
      <c r="G44" s="88"/>
      <c r="H44" s="89"/>
      <c r="I44" s="76">
        <f>VLOOKUP($F44,'LOW PAID'!$A$9:$N$444,6,FALSE)</f>
        <v>28.8</v>
      </c>
      <c r="J44" s="77">
        <f>VLOOKUP($F44,'LOW PAID'!$P$9:$W$444,6,FALSE)</f>
        <v>22.4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Mid Suffolk to Rural as a Region</v>
      </c>
      <c r="G47" s="122"/>
      <c r="H47" s="123"/>
      <c r="I47" s="74">
        <f>(I44-I45)</f>
        <v>3.6061253217868838</v>
      </c>
      <c r="J47" s="74">
        <f>(J44-J45)</f>
        <v>-3.2861165090300553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Mid Suffolk</v>
      </c>
      <c r="G52" s="88"/>
      <c r="H52" s="89"/>
      <c r="I52" s="76">
        <f>VLOOKUP($F52,INACTIVITY!$A$6:$BW$345,6,FALSE)</f>
        <v>19.8</v>
      </c>
      <c r="J52" s="77">
        <f>VLOOKUP($F52,INACTIVITY!$A$6:$BW$345,10,FALSE)</f>
        <v>19.899999999999999</v>
      </c>
      <c r="K52" s="77">
        <f>VLOOKUP($F52,INACTIVITY!$A$6:$BW$345,14,FALSE)</f>
        <v>24.5</v>
      </c>
      <c r="L52" s="77">
        <f>VLOOKUP($F52,INACTIVITY!$A$6:$BW$345,18,FALSE)</f>
        <v>18.399999999999999</v>
      </c>
      <c r="M52" s="77">
        <f>VLOOKUP($F52,INACTIVITY!$A$6:$BW$345,22,FALSE)</f>
        <v>17.600000000000001</v>
      </c>
      <c r="N52" s="77">
        <f>VLOOKUP($F52,INACTIVITY!$A$6:$BW$345,26,FALSE)</f>
        <v>19.3</v>
      </c>
      <c r="O52" s="77">
        <f>VLOOKUP($F52,INACTIVITY!$A$6:$BW$345,30,FALSE)</f>
        <v>16.2</v>
      </c>
      <c r="P52" s="77">
        <f>VLOOKUP($F52,INACTIVITY!$A$6:$BW$345,34,FALSE)</f>
        <v>17</v>
      </c>
      <c r="Q52" s="77">
        <f>VLOOKUP($F52,INACTIVITY!$A$6:$BW$345,38,FALSE)</f>
        <v>18.100000000000001</v>
      </c>
      <c r="R52" s="77">
        <f>VLOOKUP($F52,INACTIVITY!$A$6:$BW$345,42,FALSE)</f>
        <v>18.5</v>
      </c>
      <c r="S52" s="77">
        <f>VLOOKUP($F52,INACTIVITY!$A$6:$BW$345,46,FALSE)</f>
        <v>22.4</v>
      </c>
      <c r="T52" s="77">
        <f>VLOOKUP($F52,INACTIVITY!$A$6:$BW$345,50,FALSE)</f>
        <v>20.2</v>
      </c>
      <c r="U52" s="77">
        <f>VLOOKUP($F52,INACTIVITY!$A$6:$BW$345,54,FALSE)</f>
        <v>21.2</v>
      </c>
      <c r="V52" s="77">
        <f>VLOOKUP($F52,INACTIVITY!$A$6:$BW$345,58,FALSE)</f>
        <v>17.8</v>
      </c>
      <c r="W52" s="77">
        <f>VLOOKUP($F52,INACTIVITY!$A$6:$BW$345,62,FALSE)</f>
        <v>17.899999999999999</v>
      </c>
      <c r="X52" s="77">
        <f>VLOOKUP($F52,INACTIVITY!$A$6:$BW$345,66,FALSE)</f>
        <v>13.9</v>
      </c>
      <c r="Y52" s="77">
        <f>VLOOKUP($F52,INACTIVITY!$A$6:$BW$345,70,FALSE)</f>
        <v>18.100000000000001</v>
      </c>
      <c r="Z52" s="77">
        <f>VLOOKUP($F52,INACTIVITY!$A$6:$BW$345,74,FALSE)</f>
        <v>19.399999999999999</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Mid Suffolk to Rural as a Region</v>
      </c>
      <c r="G55" s="122"/>
      <c r="H55" s="123"/>
      <c r="I55" s="74">
        <f>(I52-I53)</f>
        <v>-1.5956445716102365</v>
      </c>
      <c r="J55" s="74">
        <f t="shared" ref="J55:Z55" si="10">(J52-J53)</f>
        <v>-1.108522727272728</v>
      </c>
      <c r="K55" s="74">
        <f t="shared" si="10"/>
        <v>3.6375346065412231</v>
      </c>
      <c r="L55" s="74">
        <f t="shared" si="10"/>
        <v>-2.9140653315366407</v>
      </c>
      <c r="M55" s="74">
        <f t="shared" si="10"/>
        <v>-3.2350023108920034</v>
      </c>
      <c r="N55" s="74">
        <f t="shared" si="10"/>
        <v>-1.6331437579204398</v>
      </c>
      <c r="O55" s="74">
        <f t="shared" si="10"/>
        <v>-5.4919371275051745</v>
      </c>
      <c r="P55" s="74">
        <f t="shared" si="10"/>
        <v>-4.4942457807534488</v>
      </c>
      <c r="Q55" s="74">
        <f t="shared" si="10"/>
        <v>-3.0825487944890924</v>
      </c>
      <c r="R55" s="74">
        <f t="shared" si="10"/>
        <v>-2.2745930974387711</v>
      </c>
      <c r="S55" s="74">
        <f t="shared" si="10"/>
        <v>2.1267895440275986</v>
      </c>
      <c r="T55" s="74">
        <f t="shared" si="10"/>
        <v>0.5038053165930414</v>
      </c>
      <c r="U55" s="74">
        <f t="shared" si="10"/>
        <v>1.3475706529305285</v>
      </c>
      <c r="V55" s="74">
        <f t="shared" si="10"/>
        <v>-1.4532773342803758</v>
      </c>
      <c r="W55" s="74">
        <f t="shared" si="10"/>
        <v>-1.2769560091828502</v>
      </c>
      <c r="X55" s="74">
        <f t="shared" si="10"/>
        <v>-4.9520649493649298</v>
      </c>
      <c r="Y55" s="74">
        <f t="shared" si="10"/>
        <v>-1.6725827218714606</v>
      </c>
      <c r="Z55" s="74">
        <f t="shared" si="10"/>
        <v>-1.6851797756300719</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Mid Suffolk</v>
      </c>
      <c r="G60" s="88"/>
      <c r="H60" s="89"/>
      <c r="I60" s="76">
        <f>VLOOKUP($F60,DISABILITY!$A$718:$I$1052,DISABILITY!B$1053,FALSE)</f>
        <v>34.300000000000004</v>
      </c>
      <c r="J60" s="77">
        <f>VLOOKUP($F60,DISABILITY!$A$718:$I$1052,DISABILITY!C$1053,FALSE)</f>
        <v>50.5</v>
      </c>
      <c r="K60" s="77">
        <f>VLOOKUP($F60,DISABILITY!$A$718:$I$1052,DISABILITY!D$1053,FALSE)</f>
        <v>33.1</v>
      </c>
      <c r="L60" s="77">
        <f>VLOOKUP($F60,DISABILITY!$A$718:$I$1052,DISABILITY!E$1053,FALSE)</f>
        <v>36.700000000000003</v>
      </c>
      <c r="M60" s="77">
        <f>VLOOKUP($F60,DISABILITY!$A$718:$I$1052,DISABILITY!F$1053,FALSE)</f>
        <v>14.800000000000011</v>
      </c>
      <c r="N60" s="77">
        <f>VLOOKUP($F60,DISABILITY!$A$718:$I$1052,DISABILITY!G$1053,FALSE)</f>
        <v>31.099999999999994</v>
      </c>
      <c r="O60" s="77">
        <f>VLOOKUP($F60,DISABILITY!$A$718:$I$1052,DISABILITY!H$1053,FALSE)</f>
        <v>29.6</v>
      </c>
      <c r="P60" s="77">
        <f>VLOOKUP($F60,DISABILITY!$A$718:$I$1052,DISABILITY!I$1053,FALSE)</f>
        <v>22.800000000000004</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Mid Suffolk to Rural as a Region</v>
      </c>
      <c r="G63" s="122"/>
      <c r="H63" s="123"/>
      <c r="I63" s="74">
        <f>(I60-I61)</f>
        <v>6.879843459352756</v>
      </c>
      <c r="J63" s="74">
        <f t="shared" ref="J63:P63" si="12">(J60-J61)</f>
        <v>23.180955592948813</v>
      </c>
      <c r="K63" s="74">
        <f t="shared" si="12"/>
        <v>4.9808716385017959</v>
      </c>
      <c r="L63" s="74">
        <f t="shared" si="12"/>
        <v>10.709065461003327</v>
      </c>
      <c r="M63" s="74">
        <f t="shared" si="12"/>
        <v>-10.675225818666107</v>
      </c>
      <c r="N63" s="74">
        <f t="shared" si="12"/>
        <v>5.5687523145580116</v>
      </c>
      <c r="O63" s="74">
        <f t="shared" si="12"/>
        <v>5.8027777120030564</v>
      </c>
      <c r="P63" s="74">
        <f t="shared" si="12"/>
        <v>-2.5541779303421706</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Mid Suffolk</v>
      </c>
      <c r="G68" s="88"/>
      <c r="H68" s="89"/>
      <c r="I68" s="76" t="str">
        <f>VLOOKUP($F68,'WORKLESS HOUSEHOLDS'!$DW$4:$EC$397,7,FALSE)</f>
        <v>*</v>
      </c>
      <c r="J68" s="77">
        <f>VLOOKUP($F68,'WORKLESS HOUSEHOLDS'!$DN$4:$DT$397,7,FALSE)</f>
        <v>4.1640067935710769</v>
      </c>
      <c r="K68" s="77">
        <f>VLOOKUP($F68,'WORKLESS HOUSEHOLDS'!$DE$4:$DK$397,7,FALSE)</f>
        <v>19.61672005692246</v>
      </c>
      <c r="L68" s="77">
        <f>VLOOKUP($F68,'WORKLESS HOUSEHOLDS'!$CV$4:$DB$397,7,FALSE)</f>
        <v>5.6061802952257187</v>
      </c>
      <c r="M68" s="77">
        <f>VLOOKUP($F68,'WORKLESS HOUSEHOLDS'!$CM$4:$CS$397,7,FALSE)</f>
        <v>8.0520402430927955</v>
      </c>
      <c r="N68" s="77">
        <f>VLOOKUP($F68,'WORKLESS HOUSEHOLDS'!$CD$4:$CJ$397,7,FALSE)</f>
        <v>8.5346567050226323</v>
      </c>
      <c r="O68" s="77" t="str">
        <f>VLOOKUP($F68,'WORKLESS HOUSEHOLDS'!$BU$4:$CA$397,7,FALSE)</f>
        <v>#</v>
      </c>
      <c r="P68" s="77">
        <f>VLOOKUP($F68,'WORKLESS HOUSEHOLDS'!$BL$4:$BR$397,7,FALSE)</f>
        <v>2.9608980637384161</v>
      </c>
      <c r="Q68" s="77">
        <f>VLOOKUP($F68,'WORKLESS HOUSEHOLDS'!$BC$4:$BI$397,7,FALSE)</f>
        <v>7.5351858534824974</v>
      </c>
      <c r="R68" s="77">
        <f>VLOOKUP($F68,'WORKLESS HOUSEHOLDS'!$AT$4:$AZ$397,7,FALSE)</f>
        <v>19.81177773164487</v>
      </c>
      <c r="S68" s="77">
        <f>VLOOKUP($F68,'WORKLESS HOUSEHOLDS'!$AK$4:$AQ$397,7,FALSE)</f>
        <v>6.1402350455565822</v>
      </c>
      <c r="T68" s="77" t="str">
        <f>VLOOKUP($F68,'WORKLESS HOUSEHOLDS'!$AB$4:$AH$397,7,FALSE)</f>
        <v>#</v>
      </c>
      <c r="U68" s="77" t="str">
        <f>VLOOKUP($F68,'WORKLESS HOUSEHOLDS'!$S$4:$Y$397,7,FALSE)</f>
        <v>#</v>
      </c>
      <c r="V68" s="77">
        <f>VLOOKUP($F68,'WORKLESS HOUSEHOLDS'!$J$4:$P$397,7,FALSE)</f>
        <v>7.2710951526032312</v>
      </c>
      <c r="W68" s="77">
        <f>VLOOKUP($F68,'WORKLESS HOUSEHOLDS'!$B$4:$H$397,7,FALSE)</f>
        <v>10.961624385642656</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Mid Suffolk to Rural as a Region</v>
      </c>
      <c r="G71" s="122"/>
      <c r="H71" s="123"/>
      <c r="I71" s="74" t="e">
        <f>(I68-I69)</f>
        <v>#VALUE!</v>
      </c>
      <c r="J71" s="74">
        <f t="shared" ref="J71:W71" si="14">(J68-J69)</f>
        <v>-6.7471480439039473</v>
      </c>
      <c r="K71" s="74">
        <f t="shared" si="14"/>
        <v>9.3234743277666166</v>
      </c>
      <c r="L71" s="74">
        <f t="shared" si="14"/>
        <v>-5.3598263661040138</v>
      </c>
      <c r="M71" s="74">
        <f t="shared" si="14"/>
        <v>-3.6417389380956777</v>
      </c>
      <c r="N71" s="74">
        <f t="shared" si="14"/>
        <v>-3.3664429742327489</v>
      </c>
      <c r="O71" s="74" t="e">
        <f t="shared" si="14"/>
        <v>#VALUE!</v>
      </c>
      <c r="P71" s="74">
        <f t="shared" si="14"/>
        <v>-6.7305998220294221</v>
      </c>
      <c r="Q71" s="74">
        <f t="shared" si="14"/>
        <v>-3.2699924069159145</v>
      </c>
      <c r="R71" s="74">
        <f t="shared" si="14"/>
        <v>9.1056814079153163</v>
      </c>
      <c r="S71" s="74">
        <f t="shared" si="14"/>
        <v>-4.0125097825922991</v>
      </c>
      <c r="T71" s="74" t="e">
        <f t="shared" si="14"/>
        <v>#VALUE!</v>
      </c>
      <c r="U71" s="74" t="e">
        <f t="shared" si="14"/>
        <v>#VALUE!</v>
      </c>
      <c r="V71" s="74">
        <f t="shared" si="14"/>
        <v>-2.6677733239364168</v>
      </c>
      <c r="W71" s="74">
        <f t="shared" si="14"/>
        <v>0.60892296245846289</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Mid Suffolk</v>
      </c>
      <c r="G76" s="88"/>
      <c r="H76" s="89"/>
      <c r="I76" s="76">
        <f>VLOOKUP($F76,'SKILLED EMPLOYMENT'!$A$1506:$BW$1841,6,FALSE)</f>
        <v>51.9</v>
      </c>
      <c r="J76" s="77">
        <f>VLOOKUP($F76,'SKILLED EMPLOYMENT'!$A$1506:$BW$1841,10,FALSE)</f>
        <v>52.2</v>
      </c>
      <c r="K76" s="77">
        <f>VLOOKUP($F76,'SKILLED EMPLOYMENT'!$A$1506:$BW$1841,14,FALSE)</f>
        <v>54.5</v>
      </c>
      <c r="L76" s="77">
        <f>VLOOKUP($F76,'SKILLED EMPLOYMENT'!$A$1506:$BW$1841,18,FALSE)</f>
        <v>55.2</v>
      </c>
      <c r="M76" s="77">
        <f>VLOOKUP($F76,'SKILLED EMPLOYMENT'!$A$1506:$BW$1841,22,FALSE)</f>
        <v>52.2</v>
      </c>
      <c r="N76" s="77">
        <f>VLOOKUP($F76,'SKILLED EMPLOYMENT'!$A$1506:$BW$1841,26,FALSE)</f>
        <v>57.7</v>
      </c>
      <c r="O76" s="77">
        <f>VLOOKUP($F76,'SKILLED EMPLOYMENT'!$A$1506:$BW$1841,30,FALSE)</f>
        <v>56.6</v>
      </c>
      <c r="P76" s="77">
        <f>VLOOKUP($F76,'SKILLED EMPLOYMENT'!$A$1506:$BW$1841,34,FALSE)</f>
        <v>56.400000000000006</v>
      </c>
      <c r="Q76" s="77">
        <f>VLOOKUP($F76,'SKILLED EMPLOYMENT'!$A$1506:$BW$1841,38,FALSE)</f>
        <v>49.900000000000006</v>
      </c>
      <c r="R76" s="77">
        <f>VLOOKUP($F76,'SKILLED EMPLOYMENT'!$A$1506:$BW$1841,42,FALSE)</f>
        <v>60.8</v>
      </c>
      <c r="S76" s="77">
        <f>VLOOKUP($F76,'SKILLED EMPLOYMENT'!$A$1506:$BW$1841,46,FALSE)</f>
        <v>58</v>
      </c>
      <c r="T76" s="77">
        <f>VLOOKUP($F76,'SKILLED EMPLOYMENT'!$A$1506:$BW$1841,50,FALSE)</f>
        <v>57.8</v>
      </c>
      <c r="U76" s="77">
        <f>VLOOKUP($F76,'SKILLED EMPLOYMENT'!$A$1506:$BW$1841,54,FALSE)</f>
        <v>55.300000000000004</v>
      </c>
      <c r="V76" s="77">
        <f>VLOOKUP($F76,'SKILLED EMPLOYMENT'!$A$1506:$BW$1841,58,FALSE)</f>
        <v>53.5</v>
      </c>
      <c r="W76" s="77">
        <f>VLOOKUP($F76,'SKILLED EMPLOYMENT'!$A$1506:$BW$1841,62,FALSE)</f>
        <v>58.7</v>
      </c>
      <c r="X76" s="77">
        <f>VLOOKUP($F76,'SKILLED EMPLOYMENT'!$A$1506:$BW$1841,66,FALSE)</f>
        <v>52.6</v>
      </c>
      <c r="Y76" s="77">
        <f>VLOOKUP($F76,'SKILLED EMPLOYMENT'!$A$1506:$BW$1841,70,FALSE)</f>
        <v>63.400000000000006</v>
      </c>
      <c r="Z76" s="77">
        <f>VLOOKUP($F76,'SKILLED EMPLOYMENT'!$A$1506:$BW$1841,74,FALSE)</f>
        <v>59.2</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Mid Suffolk to Rural as a Region</v>
      </c>
      <c r="G79" s="122"/>
      <c r="H79" s="123"/>
      <c r="I79" s="74">
        <f>(I76-I77)</f>
        <v>-0.80000000000000426</v>
      </c>
      <c r="J79" s="74">
        <f t="shared" ref="J79:Z79" si="17">(J76-J77)</f>
        <v>-0.69999999999999574</v>
      </c>
      <c r="K79" s="74">
        <f t="shared" si="17"/>
        <v>1</v>
      </c>
      <c r="L79" s="74">
        <f t="shared" si="17"/>
        <v>1.2000000000000028</v>
      </c>
      <c r="M79" s="74">
        <f t="shared" si="17"/>
        <v>-1.8999999999999986</v>
      </c>
      <c r="N79" s="74">
        <f t="shared" si="17"/>
        <v>3.3000000000000043</v>
      </c>
      <c r="O79" s="74">
        <f t="shared" si="17"/>
        <v>1.2000000000000028</v>
      </c>
      <c r="P79" s="74">
        <f t="shared" si="17"/>
        <v>0.80000000000000426</v>
      </c>
      <c r="Q79" s="74">
        <f t="shared" si="17"/>
        <v>-5.4999999999999929</v>
      </c>
      <c r="R79" s="74">
        <f t="shared" si="17"/>
        <v>4.5999999999999943</v>
      </c>
      <c r="S79" s="74">
        <f t="shared" si="17"/>
        <v>1.7999999999999972</v>
      </c>
      <c r="T79" s="74">
        <f t="shared" si="17"/>
        <v>1</v>
      </c>
      <c r="U79" s="74">
        <f t="shared" si="17"/>
        <v>-1.2999999999999972</v>
      </c>
      <c r="V79" s="74">
        <f t="shared" si="17"/>
        <v>-3.6000000000000014</v>
      </c>
      <c r="W79" s="74">
        <f t="shared" si="17"/>
        <v>0.90000000000000568</v>
      </c>
      <c r="X79" s="74">
        <f t="shared" si="17"/>
        <v>-6.1999999999999957</v>
      </c>
      <c r="Y79" s="74">
        <f t="shared" si="17"/>
        <v>4.7000000000000028</v>
      </c>
      <c r="Z79" s="74">
        <f t="shared" si="17"/>
        <v>0.80000000000000426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sC/wA2avFaDEP45WWcOwvq9RZJ4BLok9ICcLzW4Se953NKnQCnKhhrowcesD3Azb+PFCoE+6vxRz0M/dyg3+A==" saltValue="BVK5RSV/0JDrbhudJlu8F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2022-08-02T11:31:40Z</dcterms:modified>
</cp:coreProperties>
</file>