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64566ABD-50FF-4B8B-A486-8113BC3AD597}" xr6:coauthVersionLast="47" xr6:coauthVersionMax="47" xr10:uidLastSave="{82E6AD16-5679-4038-B1D9-C71E7648720E}"/>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<sst xmlns="http://schemas.openxmlformats.org/spreadsheetml/2006/main" count="32859" uniqueCount="1676">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</sst>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21.4</c:v>
                </c:pt>
                <c:pt idx="1">
                  <c:v>21.45</c:v>
                </c:pt>
                <c:pt idx="2">
                  <c:v>22.66</c:v>
                </c:pt>
                <c:pt idx="3">
                  <c:v>23.66</c:v>
                </c:pt>
                <c:pt idx="4">
                  <c:v>24.55</c:v>
                </c:pt>
                <c:pt idx="5">
                  <c:v>24.7</c:v>
                </c:pt>
                <c:pt idx="6">
                  <c:v>24.54</c:v>
                </c:pt>
                <c:pt idx="7">
                  <c:v>24.35</c:v>
                </c:pt>
                <c:pt idx="8">
                  <c:v>24.4</c:v>
                </c:pt>
                <c:pt idx="9">
                  <c:v>24.58</c:v>
                </c:pt>
                <c:pt idx="10">
                  <c:v>25.49</c:v>
                </c:pt>
                <c:pt idx="11">
                  <c:v>26.3</c:v>
                </c:pt>
                <c:pt idx="12">
                  <c:v>27.09</c:v>
                </c:pt>
                <c:pt idx="13">
                  <c:v>26.85</c:v>
                </c:pt>
                <c:pt idx="14">
                  <c:v>26.74</c:v>
                </c:pt>
                <c:pt idx="15">
                  <c:v>26.6</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351.8</c:v>
                </c:pt>
                <c:pt idx="1">
                  <c:v>372.5</c:v>
                </c:pt>
                <c:pt idx="2">
                  <c:v>384</c:v>
                </c:pt>
                <c:pt idx="3">
                  <c:v>399</c:v>
                </c:pt>
                <c:pt idx="4">
                  <c:v>402.4</c:v>
                </c:pt>
                <c:pt idx="5">
                  <c:v>393</c:v>
                </c:pt>
                <c:pt idx="6">
                  <c:v>424</c:v>
                </c:pt>
                <c:pt idx="7">
                  <c:v>427.4</c:v>
                </c:pt>
                <c:pt idx="8">
                  <c:v>442</c:v>
                </c:pt>
                <c:pt idx="9">
                  <c:v>439.9</c:v>
                </c:pt>
                <c:pt idx="10">
                  <c:v>451.1</c:v>
                </c:pt>
                <c:pt idx="11">
                  <c:v>492.2</c:v>
                </c:pt>
                <c:pt idx="12">
                  <c:v>506.3</c:v>
                </c:pt>
                <c:pt idx="13">
                  <c:v>527</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76.8</c:v>
                </c:pt>
                <c:pt idx="1">
                  <c:v>75.900000000000006</c:v>
                </c:pt>
                <c:pt idx="2">
                  <c:v>77.5</c:v>
                </c:pt>
                <c:pt idx="3">
                  <c:v>78.099999999999994</c:v>
                </c:pt>
                <c:pt idx="4">
                  <c:v>78.2</c:v>
                </c:pt>
                <c:pt idx="5">
                  <c:v>74.3</c:v>
                </c:pt>
                <c:pt idx="6">
                  <c:v>74.599999999999994</c:v>
                </c:pt>
                <c:pt idx="7">
                  <c:v>79.599999999999994</c:v>
                </c:pt>
                <c:pt idx="8">
                  <c:v>79.7</c:v>
                </c:pt>
                <c:pt idx="9">
                  <c:v>71.400000000000006</c:v>
                </c:pt>
                <c:pt idx="10">
                  <c:v>72.7</c:v>
                </c:pt>
                <c:pt idx="11">
                  <c:v>78.900000000000006</c:v>
                </c:pt>
                <c:pt idx="12">
                  <c:v>67.599999999999994</c:v>
                </c:pt>
                <c:pt idx="13">
                  <c:v>84.2</c:v>
                </c:pt>
                <c:pt idx="14">
                  <c:v>86.6</c:v>
                </c:pt>
                <c:pt idx="15">
                  <c:v>82.7</c:v>
                </c:pt>
                <c:pt idx="16">
                  <c:v>81.7</c:v>
                </c:pt>
                <c:pt idx="17">
                  <c:v>87.2</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12759</c:v>
                </c:pt>
                <c:pt idx="1">
                  <c:v>13292</c:v>
                </c:pt>
                <c:pt idx="2">
                  <c:v>14009</c:v>
                </c:pt>
                <c:pt idx="3">
                  <c:v>14512</c:v>
                </c:pt>
                <c:pt idx="4">
                  <c:v>15098</c:v>
                </c:pt>
                <c:pt idx="5">
                  <c:v>15544</c:v>
                </c:pt>
                <c:pt idx="6">
                  <c:v>15740</c:v>
                </c:pt>
                <c:pt idx="7">
                  <c:v>15855</c:v>
                </c:pt>
                <c:pt idx="8">
                  <c:v>16537</c:v>
                </c:pt>
                <c:pt idx="9">
                  <c:v>17096</c:v>
                </c:pt>
                <c:pt idx="10">
                  <c:v>17536</c:v>
                </c:pt>
                <c:pt idx="11">
                  <c:v>18486</c:v>
                </c:pt>
                <c:pt idx="12">
                  <c:v>18652</c:v>
                </c:pt>
                <c:pt idx="13">
                  <c:v>18968</c:v>
                </c:pt>
                <c:pt idx="14">
                  <c:v>19925</c:v>
                </c:pt>
                <c:pt idx="15">
                  <c:v>20105</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Devon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28</c:v>
                </c:pt>
                <c:pt idx="1">
                  <c:v>25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21.1</c:v>
                </c:pt>
                <c:pt idx="1">
                  <c:v>22</c:v>
                </c:pt>
                <c:pt idx="2">
                  <c:v>20.399999999999999</c:v>
                </c:pt>
                <c:pt idx="3">
                  <c:v>18.8</c:v>
                </c:pt>
                <c:pt idx="4">
                  <c:v>20.399999999999999</c:v>
                </c:pt>
                <c:pt idx="5">
                  <c:v>19.100000000000001</c:v>
                </c:pt>
                <c:pt idx="6">
                  <c:v>22</c:v>
                </c:pt>
                <c:pt idx="7">
                  <c:v>16.899999999999999</c:v>
                </c:pt>
                <c:pt idx="8">
                  <c:v>19.7</c:v>
                </c:pt>
                <c:pt idx="9">
                  <c:v>23.1</c:v>
                </c:pt>
                <c:pt idx="10">
                  <c:v>24.3</c:v>
                </c:pt>
                <c:pt idx="11">
                  <c:v>18.8</c:v>
                </c:pt>
                <c:pt idx="12">
                  <c:v>28.9</c:v>
                </c:pt>
                <c:pt idx="13">
                  <c:v>14.6</c:v>
                </c:pt>
                <c:pt idx="14">
                  <c:v>11.6</c:v>
                </c:pt>
                <c:pt idx="15">
                  <c:v>15.2</c:v>
                </c:pt>
                <c:pt idx="16">
                  <c:v>16.7</c:v>
                </c:pt>
                <c:pt idx="17">
                  <c:v>12.4</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25</c:v>
                </c:pt>
                <c:pt idx="1">
                  <c:v>43.099999999999994</c:v>
                </c:pt>
                <c:pt idx="2">
                  <c:v>29.999999999999993</c:v>
                </c:pt>
                <c:pt idx="3">
                  <c:v>20.899999999999991</c:v>
                </c:pt>
                <c:pt idx="4">
                  <c:v>29.299999999999997</c:v>
                </c:pt>
                <c:pt idx="5">
                  <c:v>42.5</c:v>
                </c:pt>
                <c:pt idx="6">
                  <c:v>31</c:v>
                </c:pt>
                <c:pt idx="7">
                  <c:v>28.799999999999997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5.7710906083213231</c:v>
                </c:pt>
                <c:pt idx="1">
                  <c:v>16.382375586197242</c:v>
                </c:pt>
                <c:pt idx="2">
                  <c:v>10.505706900905427</c:v>
                </c:pt>
                <c:pt idx="3">
                  <c:v>6.1074446203286881</c:v>
                </c:pt>
                <c:pt idx="4">
                  <c:v>7.0601183924799953</c:v>
                </c:pt>
                <c:pt idx="5">
                  <c:v>0</c:v>
                </c:pt>
                <c:pt idx="6">
                  <c:v>12.556317335945153</c:v>
                </c:pt>
                <c:pt idx="7">
                  <c:v>5.7333704425271357</c:v>
                </c:pt>
                <c:pt idx="8">
                  <c:v>0</c:v>
                </c:pt>
                <c:pt idx="9">
                  <c:v>0</c:v>
                </c:pt>
                <c:pt idx="10">
                  <c:v>13.019936007875954</c:v>
                </c:pt>
                <c:pt idx="11">
                  <c:v>0</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Devon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47.099999999999994</c:v>
                </c:pt>
                <c:pt idx="1">
                  <c:v>53.2</c:v>
                </c:pt>
                <c:pt idx="2">
                  <c:v>54.099999999999994</c:v>
                </c:pt>
                <c:pt idx="3">
                  <c:v>56.5</c:v>
                </c:pt>
                <c:pt idx="4">
                  <c:v>57.199999999999996</c:v>
                </c:pt>
                <c:pt idx="5">
                  <c:v>50.7</c:v>
                </c:pt>
                <c:pt idx="6">
                  <c:v>52.8</c:v>
                </c:pt>
                <c:pt idx="7">
                  <c:v>53.400000000000006</c:v>
                </c:pt>
                <c:pt idx="8">
                  <c:v>54.899999999999991</c:v>
                </c:pt>
                <c:pt idx="9">
                  <c:v>53.5</c:v>
                </c:pt>
                <c:pt idx="10">
                  <c:v>51.999999999999993</c:v>
                </c:pt>
                <c:pt idx="11">
                  <c:v>50.599999999999994</c:v>
                </c:pt>
                <c:pt idx="12">
                  <c:v>56.3</c:v>
                </c:pt>
                <c:pt idx="13">
                  <c:v>54.9</c:v>
                </c:pt>
                <c:pt idx="14">
                  <c:v>57.400000000000006</c:v>
                </c:pt>
                <c:pt idx="15">
                  <c:v>60.7</c:v>
                </c:pt>
                <c:pt idx="16">
                  <c:v>57.5</c:v>
                </c:pt>
                <c:pt idx="17">
                  <c:v>46.900000000000006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Devon has been from 2004 to 2021 consistently greater than the rural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North Devon, it is below </a:t>
          </a:r>
          <a:r>
            <a:rPr lang="en-GB" sz="1100" baseline="0">
              <a:solidFill>
                <a:schemeClr val="dk1"/>
              </a:solidFill>
              <a:effectLst/>
              <a:latin typeface="Avenir Next LT Pro" panose="020B0504020202020204" pitchFamily="34" charset="0"/>
              <a:ea typeface="+mn-ea"/>
              <a:cs typeface="+mn-cs"/>
            </a:rPr>
            <a:t>both 'Rural as a Region' and England </a:t>
          </a:r>
          <a:r>
            <a:rPr lang="en-GB" sz="1100" baseline="0">
              <a:latin typeface="Avenir Next LT Pro" panose="020B0504020202020204" pitchFamily="34" charset="0"/>
            </a:rPr>
            <a:t>and the gap is static.</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North Devon dropped between 2017 and 2018 taking it below that seen for 'Rural as a Region'.</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Devon's economic inactivity rate has fluctuated taking it for some years above the proportions seen for </a:t>
          </a:r>
          <a:r>
            <a:rPr lang="en-GB" sz="1100">
              <a:latin typeface="Avenir Next LT Pro" panose="020B0504020202020204" pitchFamily="34" charset="0"/>
            </a:rPr>
            <a:t>England and rural on average, however in general it is below</a:t>
          </a:r>
          <a:r>
            <a:rPr lang="en-GB" sz="1100" baseline="0">
              <a:latin typeface="Avenir Next LT Pro" panose="020B0504020202020204" pitchFamily="34" charset="0"/>
            </a:rPr>
            <a:t> the rural and England situations with a widening gap</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Devon from 2014 to 2021 is generally greater than the rural and England situations.</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 Devon is unclear due to large variation in yearly proportions where data is available and due to unavailable data over a number of years.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Devon roughly follows the England and rural situations, albeit with some deviance.</a:t>
          </a:r>
          <a:endParaRPr lang="en-GB" sz="1100">
            <a:latin typeface="Avenir Next LT Pro" panose="020B0504020202020204" pitchFamily="34" charset="0"/>
          </a:endParaRPr>
        </a:p>
      </xdr:txBody>
    </xdr:sp>
    <xdr:clientData/>
  </xdr:twoCellAnchor>
  <xdr:twoCellAnchor>
    <xdr:from>
      <xdr:col>0</xdr:col>
      <xdr:colOff>601980</xdr:colOff>
      <xdr:row>20</xdr:row>
      <xdr:rowOff>556260</xdr:rowOff>
    </xdr:from>
    <xdr:to>
      <xdr:col>1</xdr:col>
      <xdr:colOff>2583180</xdr:colOff>
      <xdr:row>22</xdr:row>
      <xdr:rowOff>83820</xdr:rowOff>
    </xdr:to>
    <xdr:sp macro="" textlink="">
      <xdr:nvSpPr>
        <xdr:cNvPr id="20" name="TextBox 19">
          <a:extLst>
            <a:ext uri="{FF2B5EF4-FFF2-40B4-BE49-F238E27FC236}">
              <a16:creationId xmlns:a16="http://schemas.microsoft.com/office/drawing/2014/main" id="{63377F71-4D23-4600-9BD1-91A1DE96FB98}"/>
            </a:ext>
          </a:extLst>
        </xdr:cNvPr>
        <xdr:cNvSpPr txBox="1"/>
      </xdr:nvSpPr>
      <xdr:spPr>
        <a:xfrm>
          <a:off x="601980" y="74828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Devon is consistenetly below the rural and England positions, however a greater rate of increase from 2008 to 2020 for North Devon has narrowed the gap.</a:t>
          </a:r>
          <a:endParaRPr lang="en-GB" sz="1100">
            <a:latin typeface="Avenir Next LT Pro" panose="020B0504020202020204" pitchFamily="34" charset="0"/>
          </a:endParaRPr>
        </a:p>
      </xdr:txBody>
    </xdr:sp>
    <xdr:clientData/>
  </xdr:twoCellAnchor>
  <xdr:twoCellAnchor>
    <xdr:from>
      <xdr:col>0</xdr:col>
      <xdr:colOff>586740</xdr:colOff>
      <xdr:row>12</xdr:row>
      <xdr:rowOff>472440</xdr:rowOff>
    </xdr:from>
    <xdr:to>
      <xdr:col>1</xdr:col>
      <xdr:colOff>2567940</xdr:colOff>
      <xdr:row>14</xdr:row>
      <xdr:rowOff>205740</xdr:rowOff>
    </xdr:to>
    <xdr:sp macro="" textlink="">
      <xdr:nvSpPr>
        <xdr:cNvPr id="21" name="TextBox 20">
          <a:extLst>
            <a:ext uri="{FF2B5EF4-FFF2-40B4-BE49-F238E27FC236}">
              <a16:creationId xmlns:a16="http://schemas.microsoft.com/office/drawing/2014/main" id="{09E75D2C-E605-490C-B1C4-9D4C0C1FB229}"/>
            </a:ext>
          </a:extLst>
        </xdr:cNvPr>
        <xdr:cNvSpPr txBox="1"/>
      </xdr:nvSpPr>
      <xdr:spPr>
        <a:xfrm>
          <a:off x="586740" y="3459480"/>
          <a:ext cx="6682740" cy="10287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Devon is consistently below both the rural and England positions with some year on year variation bringing it at times closer to 'Rural as a Region', but also at times further away.</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436</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Devon</v>
      </c>
      <c r="G12" s="88" t="str">
        <f>IFERROR(VLOOKUP(F12,GVA!B244:B552,1,FALSE),VLOOKUP(F12,GVA!B6:C230,2,FALSE))</f>
        <v>North Devon</v>
      </c>
      <c r="H12" s="89" t="str">
        <f>IF(F12=G12,"",G12)</f>
        <v/>
      </c>
      <c r="I12" s="76">
        <f>IFERROR(VLOOKUP($F12,GVA!$B$7:$S$230,GVA!D$3,FALSE),VLOOKUP($F12,GVA!$B$244:$T$554,GVA!E$3,FALSE))</f>
        <v>21.4</v>
      </c>
      <c r="J12" s="77">
        <f>IFERROR(VLOOKUP($F12,GVA!$B$7:$S$230,GVA!E$3,FALSE),VLOOKUP($F12,GVA!$B$244:$T$554,GVA!F$3,FALSE))</f>
        <v>21.45</v>
      </c>
      <c r="K12" s="77">
        <f>IFERROR(VLOOKUP($F12,GVA!$B$7:$S$230,GVA!F$3,FALSE),VLOOKUP($F12,GVA!$B$244:$T$554,GVA!G$3,FALSE))</f>
        <v>22.66</v>
      </c>
      <c r="L12" s="77">
        <f>IFERROR(VLOOKUP($F12,GVA!$B$7:$S$230,GVA!G$3,FALSE),VLOOKUP($F12,GVA!$B$244:$T$554,GVA!H$3,FALSE))</f>
        <v>23.66</v>
      </c>
      <c r="M12" s="77">
        <f>IFERROR(VLOOKUP($F12,GVA!$B$7:$S$230,GVA!H$3,FALSE),VLOOKUP($F12,GVA!$B$244:$T$554,GVA!I$3,FALSE))</f>
        <v>24.55</v>
      </c>
      <c r="N12" s="77">
        <f>IFERROR(VLOOKUP($F12,GVA!$B$7:$S$230,GVA!I$3,FALSE),VLOOKUP($F12,GVA!$B$244:$T$554,GVA!J$3,FALSE))</f>
        <v>24.7</v>
      </c>
      <c r="O12" s="77">
        <f>IFERROR(VLOOKUP($F12,GVA!$B$7:$S$230,GVA!J$3,FALSE),VLOOKUP($F12,GVA!$B$244:$T$554,GVA!K$3,FALSE))</f>
        <v>24.54</v>
      </c>
      <c r="P12" s="77">
        <f>IFERROR(VLOOKUP($F12,GVA!$B$7:$S$230,GVA!K$3,FALSE),VLOOKUP($F12,GVA!$B$244:$T$554,GVA!L$3,FALSE))</f>
        <v>24.35</v>
      </c>
      <c r="Q12" s="77">
        <f>IFERROR(VLOOKUP($F12,GVA!$B$7:$S$230,GVA!L$3,FALSE),VLOOKUP($F12,GVA!$B$244:$T$554,GVA!M$3,FALSE))</f>
        <v>24.4</v>
      </c>
      <c r="R12" s="77">
        <f>IFERROR(VLOOKUP($F12,GVA!$B$7:$S$230,GVA!M$3,FALSE),VLOOKUP($F12,GVA!$B$244:$T$554,GVA!N$3,FALSE))</f>
        <v>24.58</v>
      </c>
      <c r="S12" s="77">
        <f>IFERROR(VLOOKUP($F12,GVA!$B$7:$S$230,GVA!N$3,FALSE),VLOOKUP($F12,GVA!$B$244:$T$554,GVA!O$3,FALSE))</f>
        <v>25.49</v>
      </c>
      <c r="T12" s="77">
        <f>IFERROR(VLOOKUP($F12,GVA!$B$7:$S$230,GVA!O$3,FALSE),VLOOKUP($F12,GVA!$B$244:$T$554,GVA!P$3,FALSE))</f>
        <v>26.3</v>
      </c>
      <c r="U12" s="77">
        <f>IFERROR(VLOOKUP($F12,GVA!$B$7:$S$230,GVA!P$3,FALSE),VLOOKUP($F12,GVA!$B$244:$T$554,GVA!Q$3,FALSE))</f>
        <v>27.09</v>
      </c>
      <c r="V12" s="77">
        <f>IFERROR(VLOOKUP($F12,GVA!$B$7:$S$230,GVA!Q$3,FALSE),VLOOKUP($F12,GVA!$B$244:$T$554,GVA!R$3,FALSE))</f>
        <v>26.85</v>
      </c>
      <c r="W12" s="77">
        <f>IFERROR(VLOOKUP($F12,GVA!$B$7:$S$230,GVA!R$3,FALSE),VLOOKUP($F12,GVA!$B$244:$T$554,GVA!S$3,FALSE))</f>
        <v>26.74</v>
      </c>
      <c r="X12" s="77">
        <f>IFERROR(VLOOKUP($F12,GVA!$B$7:$S$230,GVA!S$3,FALSE),VLOOKUP($F12,GVA!$B$244:$T$554,GVA!T$3,FALSE))</f>
        <v>26.6</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Devon to Rural as a Region</v>
      </c>
      <c r="G15" s="122"/>
      <c r="H15" s="123"/>
      <c r="I15" s="74">
        <f>100*((I12-I13)/I13)</f>
        <v>-9.0913688384065345</v>
      </c>
      <c r="J15" s="74">
        <f t="shared" ref="J15:X15" si="0">100*((J12-J13)/J13)</f>
        <v>-8.6252713146844684</v>
      </c>
      <c r="K15" s="74">
        <f t="shared" si="0"/>
        <v>-6.7640446135986769</v>
      </c>
      <c r="L15" s="74">
        <f t="shared" si="0"/>
        <v>-4.7449243687812945</v>
      </c>
      <c r="M15" s="74">
        <f t="shared" si="0"/>
        <v>-2.8286283767546214</v>
      </c>
      <c r="N15" s="74">
        <f t="shared" si="0"/>
        <v>-3.0335886638843643</v>
      </c>
      <c r="O15" s="74">
        <f t="shared" si="0"/>
        <v>-4.847279088982928</v>
      </c>
      <c r="P15" s="74">
        <f t="shared" si="0"/>
        <v>-6.9710324878221641</v>
      </c>
      <c r="Q15" s="74">
        <f t="shared" si="0"/>
        <v>-8.650889156304336</v>
      </c>
      <c r="R15" s="74">
        <f t="shared" si="0"/>
        <v>-9.5456516881990794</v>
      </c>
      <c r="S15" s="74">
        <f t="shared" si="0"/>
        <v>-7.727313863139833</v>
      </c>
      <c r="T15" s="74">
        <f t="shared" si="0"/>
        <v>-6.56561384513879</v>
      </c>
      <c r="U15" s="74">
        <f t="shared" si="0"/>
        <v>-6.058266695839901</v>
      </c>
      <c r="V15" s="74">
        <f t="shared" si="0"/>
        <v>-9.3543395695596985</v>
      </c>
      <c r="W15" s="74">
        <f t="shared" si="0"/>
        <v>-11.55770979922741</v>
      </c>
      <c r="X15" s="74">
        <f t="shared" si="0"/>
        <v>-12.933355674100177</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Devon</v>
      </c>
      <c r="G20" s="88"/>
      <c r="H20" s="89"/>
      <c r="I20" s="80">
        <f>IF(VLOOKUP($F20,PAY!$A$11:$AE$349,4,FALSE)="-",#N/A,VLOOKUP($F20,PAY!$A$11:$AE$349,4,FALSE))</f>
        <v>351.8</v>
      </c>
      <c r="J20" s="80">
        <f>IF(VLOOKUP($F20,PAY!$A$11:$AE$349,6,FALSE)="-",#N/A,VLOOKUP($F20,PAY!$A$11:$AE$349,6,FALSE))</f>
        <v>372.5</v>
      </c>
      <c r="K20" s="80">
        <f>IF(VLOOKUP($F20,PAY!$A$11:$AE$349,8,FALSE)="-",#N/A,VLOOKUP($F20,PAY!$A$11:$AE$349,8,FALSE))</f>
        <v>384</v>
      </c>
      <c r="L20" s="80">
        <f>IF(VLOOKUP($F20,PAY!$A$11:$AE$349,10,FALSE)="-",#N/A,VLOOKUP($F20,PAY!$A$11:$AE$349,10,FALSE))</f>
        <v>399</v>
      </c>
      <c r="M20" s="80">
        <f>IF(VLOOKUP($F20,PAY!$A$11:$AE$349,12,FALSE)="-",#N/A,VLOOKUP($F20,PAY!$A$11:$AE$349,12,FALSE))</f>
        <v>402.4</v>
      </c>
      <c r="N20" s="80">
        <f>IF(VLOOKUP($F20,PAY!$A$11:$AE$349,14,FALSE)="-",#N/A,VLOOKUP($F20,PAY!$A$11:$AE$349,14,FALSE))</f>
        <v>393</v>
      </c>
      <c r="O20" s="80">
        <f>IF(VLOOKUP($F20,PAY!$A$11:$AE$349,16,FALSE)="-",#N/A,VLOOKUP($F20,PAY!$A$11:$AE$349,16,FALSE))</f>
        <v>424</v>
      </c>
      <c r="P20" s="80">
        <f>IF(VLOOKUP($F20,PAY!$A$11:$AE$349,18,FALSE)="-",#N/A,VLOOKUP($F20,PAY!$A$11:$AE$349,18,FALSE))</f>
        <v>427.4</v>
      </c>
      <c r="Q20" s="80">
        <f>IF(VLOOKUP($F20,PAY!$A$11:$AE$349,20,FALSE)="-",#N/A,VLOOKUP($F20,PAY!$A$11:$AE$349,20,FALSE))</f>
        <v>442</v>
      </c>
      <c r="R20" s="80">
        <f>IF(VLOOKUP($F20,PAY!$A$11:$AE$349,22,FALSE)="-",#N/A,VLOOKUP($F20,PAY!$A$11:$AE$349,22,FALSE))</f>
        <v>439.9</v>
      </c>
      <c r="S20" s="80">
        <f>IF(VLOOKUP($F20,PAY!$A$11:$AE$349,24,FALSE)="-",#N/A,VLOOKUP($F20,PAY!$A$11:$AE$349,24,FALSE))</f>
        <v>451.1</v>
      </c>
      <c r="T20" s="80">
        <f>IF(VLOOKUP($F20,PAY!$A$11:$AE$349,26,FALSE)="-",#N/A,VLOOKUP($F20,PAY!$A$11:$AE$349,26,FALSE))</f>
        <v>492.2</v>
      </c>
      <c r="U20" s="80">
        <f>IF(VLOOKUP($F20,PAY!$A$11:$AE$349,28,FALSE)="-",#N/A,VLOOKUP($F20,PAY!$A$11:$AE$349,28,FALSE))</f>
        <v>506.3</v>
      </c>
      <c r="V20" s="80">
        <f>IF(VLOOKUP($F20,PAY!$A$11:$AE$349,30,FALSE)="-",#N/A,VLOOKUP($F20,PAY!$A$11:$AE$349,30,FALSE))</f>
        <v>527</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Devon to Rural as a Region</v>
      </c>
      <c r="G23" s="122"/>
      <c r="H23" s="123"/>
      <c r="I23" s="74">
        <f>100*((I20-I21)/I21)</f>
        <v>-18.751461714766823</v>
      </c>
      <c r="J23" s="74">
        <f t="shared" ref="J23:V23" si="2">100*((J20-J21)/J21)</f>
        <v>-14.745093551524862</v>
      </c>
      <c r="K23" s="74">
        <f t="shared" si="2"/>
        <v>-14.307263374659987</v>
      </c>
      <c r="L23" s="74">
        <f t="shared" si="2"/>
        <v>-11.461844411487107</v>
      </c>
      <c r="M23" s="74">
        <f t="shared" si="2"/>
        <v>-11.607654278421336</v>
      </c>
      <c r="N23" s="74">
        <f t="shared" si="2"/>
        <v>-15.15033915814444</v>
      </c>
      <c r="O23" s="74">
        <f t="shared" si="2"/>
        <v>-9.9410110395930449</v>
      </c>
      <c r="P23" s="74">
        <f t="shared" si="2"/>
        <v>-9.9872303783700289</v>
      </c>
      <c r="Q23" s="74">
        <f t="shared" si="2"/>
        <v>-9.7005102265116179</v>
      </c>
      <c r="R23" s="74">
        <f t="shared" si="2"/>
        <v>-12.72811742695343</v>
      </c>
      <c r="S23" s="74">
        <f t="shared" si="2"/>
        <v>-12.309964464273424</v>
      </c>
      <c r="T23" s="74">
        <f t="shared" si="2"/>
        <v>-7.775698349568481</v>
      </c>
      <c r="U23" s="74">
        <f t="shared" si="2"/>
        <v>-4.6602536470267548</v>
      </c>
      <c r="V23" s="74">
        <f t="shared" si="2"/>
        <v>-6.6023816488765732</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Devon</v>
      </c>
      <c r="G28" s="88"/>
      <c r="H28" s="89"/>
      <c r="I28" s="76">
        <f>VLOOKUP($F28,EMPLOYMENT!$A$6:$BW$345,6,FALSE)</f>
        <v>76.8</v>
      </c>
      <c r="J28" s="77">
        <f>VLOOKUP($F28,EMPLOYMENT!$A$6:$BW$345,10,FALSE)</f>
        <v>75.900000000000006</v>
      </c>
      <c r="K28" s="77">
        <f>VLOOKUP($F28,EMPLOYMENT!$A$6:$BW$345,14,FALSE)</f>
        <v>77.5</v>
      </c>
      <c r="L28" s="77">
        <f>VLOOKUP($F28,EMPLOYMENT!$A$6:$BW$345,18,FALSE)</f>
        <v>78.099999999999994</v>
      </c>
      <c r="M28" s="77">
        <f>VLOOKUP($F28,EMPLOYMENT!$A$6:$BW$345,22,FALSE)</f>
        <v>78.2</v>
      </c>
      <c r="N28" s="77">
        <f>VLOOKUP($F28,EMPLOYMENT!$A$6:$BW$345,26,FALSE)</f>
        <v>74.3</v>
      </c>
      <c r="O28" s="77">
        <f>VLOOKUP($F28,EMPLOYMENT!$A$6:$BW$345,30,FALSE)</f>
        <v>74.599999999999994</v>
      </c>
      <c r="P28" s="77">
        <f>VLOOKUP($F28,EMPLOYMENT!$A$6:$BW$345,34,FALSE)</f>
        <v>79.599999999999994</v>
      </c>
      <c r="Q28" s="77">
        <f>VLOOKUP($F28,EMPLOYMENT!$A$6:$BW$345,38,FALSE)</f>
        <v>79.7</v>
      </c>
      <c r="R28" s="77">
        <f>VLOOKUP($F28,EMPLOYMENT!$A$6:$BW$345,42,FALSE)</f>
        <v>71.400000000000006</v>
      </c>
      <c r="S28" s="77">
        <f>VLOOKUP($F28,EMPLOYMENT!$A$6:$BW$345,46,FALSE)</f>
        <v>72.7</v>
      </c>
      <c r="T28" s="77">
        <f>VLOOKUP($F28,EMPLOYMENT!$A$6:$BW$345,50,FALSE)</f>
        <v>78.900000000000006</v>
      </c>
      <c r="U28" s="77">
        <f>VLOOKUP($F28,EMPLOYMENT!$A$6:$BW$345,54,FALSE)</f>
        <v>67.599999999999994</v>
      </c>
      <c r="V28" s="77">
        <f>VLOOKUP($F28,EMPLOYMENT!$A$6:$BW$345,58,FALSE)</f>
        <v>84.2</v>
      </c>
      <c r="W28" s="77">
        <f>VLOOKUP($F28,EMPLOYMENT!$A$6:$BW$345,62,FALSE)</f>
        <v>86.6</v>
      </c>
      <c r="X28" s="77">
        <f>VLOOKUP($F28,EMPLOYMENT!$A$6:$BW$345,66,FALSE)</f>
        <v>82.7</v>
      </c>
      <c r="Y28" s="77">
        <f>VLOOKUP($F28,EMPLOYMENT!$A$6:$BW$345,70,FALSE)</f>
        <v>81.7</v>
      </c>
      <c r="Z28" s="77">
        <f>VLOOKUP($F28,EMPLOYMENT!$A$6:$BW$345,74,FALSE)</f>
        <v>87.2</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Devon to Rural as a Region</v>
      </c>
      <c r="G31" s="122"/>
      <c r="H31" s="123"/>
      <c r="I31" s="74">
        <f>(I28-I29)</f>
        <v>0.68865808059825895</v>
      </c>
      <c r="J31" s="74">
        <f t="shared" ref="J31:Z31" si="4">(J28-J29)</f>
        <v>-0.41297546668295126</v>
      </c>
      <c r="K31" s="74">
        <f t="shared" si="4"/>
        <v>1.6268111005132369</v>
      </c>
      <c r="L31" s="74">
        <f t="shared" si="4"/>
        <v>2.4595316973721566</v>
      </c>
      <c r="M31" s="74">
        <f t="shared" si="4"/>
        <v>2.4644756266682606</v>
      </c>
      <c r="N31" s="74">
        <f t="shared" si="4"/>
        <v>-0.20953984287318406</v>
      </c>
      <c r="O31" s="74">
        <f t="shared" si="4"/>
        <v>1.0528668610301253</v>
      </c>
      <c r="P31" s="74">
        <f t="shared" si="4"/>
        <v>5.8657045967223809</v>
      </c>
      <c r="Q31" s="74">
        <f t="shared" si="4"/>
        <v>5.6668425245374294</v>
      </c>
      <c r="R31" s="74">
        <f t="shared" si="4"/>
        <v>-3.3444749299002012</v>
      </c>
      <c r="S31" s="74">
        <f t="shared" si="4"/>
        <v>-3.4088603400756057</v>
      </c>
      <c r="T31" s="74">
        <f t="shared" si="4"/>
        <v>1.7094680243909863</v>
      </c>
      <c r="U31" s="74">
        <f t="shared" si="4"/>
        <v>-9.3716324817080476</v>
      </c>
      <c r="V31" s="74">
        <f t="shared" si="4"/>
        <v>6.1672131147541052</v>
      </c>
      <c r="W31" s="74">
        <f t="shared" si="4"/>
        <v>8.5518431065858493</v>
      </c>
      <c r="X31" s="74">
        <f t="shared" si="4"/>
        <v>4.1087006210432975</v>
      </c>
      <c r="Y31" s="74">
        <f t="shared" si="4"/>
        <v>4.6856537038707984</v>
      </c>
      <c r="Z31" s="74">
        <f t="shared" si="4"/>
        <v>11.04424192212096</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Devon</v>
      </c>
      <c r="G36" s="88" t="str">
        <f>IFERROR(VLOOKUP(F36,GDHI!B338:C574,2,FALSE),VLOOKUP(F36,GDHI!C3:C336,1,FALSE))</f>
        <v>North Devon</v>
      </c>
      <c r="H36" s="89" t="str">
        <f>IF(F36=G36,"",G36)</f>
        <v/>
      </c>
      <c r="I36" s="83">
        <f>IFERROR(VLOOKUP($F36,GDHI!$B$338:$U$574,GDHI!G$578,FALSE),VLOOKUP($F36,GDHI!$C$3:$U$336,GDHI!F$578,FALSE))</f>
        <v>12759</v>
      </c>
      <c r="J36" s="84">
        <f>IFERROR(VLOOKUP($F36,GDHI!$B$338:$U$574,GDHI!H$578,FALSE),VLOOKUP($F36,GDHI!$C$3:$U$336,GDHI!G$578,FALSE))</f>
        <v>13292</v>
      </c>
      <c r="K36" s="84">
        <f>IFERROR(VLOOKUP($F36,GDHI!$B$338:$U$574,GDHI!I$578,FALSE),VLOOKUP($F36,GDHI!$C$3:$U$336,GDHI!H$578,FALSE))</f>
        <v>14009</v>
      </c>
      <c r="L36" s="84">
        <f>IFERROR(VLOOKUP($F36,GDHI!$B$338:$U$574,GDHI!J$578,FALSE),VLOOKUP($F36,GDHI!$C$3:$U$336,GDHI!I$578,FALSE))</f>
        <v>14512</v>
      </c>
      <c r="M36" s="84">
        <f>IFERROR(VLOOKUP($F36,GDHI!$B$338:$U$574,GDHI!K$578,FALSE),VLOOKUP($F36,GDHI!$C$3:$U$336,GDHI!J$578,FALSE))</f>
        <v>15098</v>
      </c>
      <c r="N36" s="84">
        <f>IFERROR(VLOOKUP($F36,GDHI!$B$338:$U$574,GDHI!L$578,FALSE),VLOOKUP($F36,GDHI!$C$3:$U$336,GDHI!K$578,FALSE))</f>
        <v>15544</v>
      </c>
      <c r="O36" s="84">
        <f>IFERROR(VLOOKUP($F36,GDHI!$B$338:$U$574,GDHI!M$578,FALSE),VLOOKUP($F36,GDHI!$C$3:$U$336,GDHI!L$578,FALSE))</f>
        <v>15740</v>
      </c>
      <c r="P36" s="84">
        <f>IFERROR(VLOOKUP($F36,GDHI!$B$338:$U$574,GDHI!N$578,FALSE),VLOOKUP($F36,GDHI!$C$3:$U$336,GDHI!M$578,FALSE))</f>
        <v>15855</v>
      </c>
      <c r="Q36" s="84">
        <f>IFERROR(VLOOKUP($F36,GDHI!$B$338:$U$574,GDHI!O$578,FALSE),VLOOKUP($F36,GDHI!$C$3:$U$336,GDHI!N$578,FALSE))</f>
        <v>16537</v>
      </c>
      <c r="R36" s="84">
        <f>IFERROR(VLOOKUP($F36,GDHI!$B$338:$U$574,GDHI!P$578,FALSE),VLOOKUP($F36,GDHI!$C$3:$U$336,GDHI!O$578,FALSE))</f>
        <v>17096</v>
      </c>
      <c r="S36" s="84">
        <f>IFERROR(VLOOKUP($F36,GDHI!$B$338:$U$574,GDHI!Q$578,FALSE),VLOOKUP($F36,GDHI!$C$3:$U$336,GDHI!P$578,FALSE))</f>
        <v>17536</v>
      </c>
      <c r="T36" s="84">
        <f>IFERROR(VLOOKUP($F36,GDHI!$B$338:$U$574,GDHI!R$578,FALSE),VLOOKUP($F36,GDHI!$C$3:$U$336,GDHI!Q$578,FALSE))</f>
        <v>18486</v>
      </c>
      <c r="U36" s="84">
        <f>IFERROR(VLOOKUP($F36,GDHI!$B$338:$U$574,GDHI!S$578,FALSE),VLOOKUP($F36,GDHI!$C$3:$U$336,GDHI!R$578,FALSE))</f>
        <v>18652</v>
      </c>
      <c r="V36" s="84">
        <f>IFERROR(VLOOKUP($F36,GDHI!$B$338:$U$574,GDHI!T$578,FALSE),VLOOKUP($F36,GDHI!$C$3:$U$336,GDHI!S$578,FALSE))</f>
        <v>18968</v>
      </c>
      <c r="W36" s="84">
        <f>IFERROR(VLOOKUP($F36,GDHI!$B$338:$U$574,GDHI!U$578,FALSE),VLOOKUP($F36,GDHI!$C$3:$U$336,GDHI!T$578,FALSE))</f>
        <v>19925</v>
      </c>
      <c r="X36" s="84">
        <f>IFERROR(VLOOKUP($F36,GDHI!$B$338:$U$574,GDHI!V$578,FALSE),VLOOKUP($F36,GDHI!$C$3:$U$336,GDHI!U$578,FALSE))</f>
        <v>20105</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Devon to Rural as a Region</v>
      </c>
      <c r="G39" s="122"/>
      <c r="H39" s="123"/>
      <c r="I39" s="74">
        <f>100*((I36-I37)/I37)</f>
        <v>-13.260138006050513</v>
      </c>
      <c r="J39" s="74">
        <f t="shared" ref="J39:X39" si="6">100*((J36-J37)/J37)</f>
        <v>-13.358852966715585</v>
      </c>
      <c r="K39" s="74">
        <f t="shared" si="6"/>
        <v>-12.026859425357213</v>
      </c>
      <c r="L39" s="74">
        <f t="shared" si="6"/>
        <v>-12.410408075721753</v>
      </c>
      <c r="M39" s="74">
        <f t="shared" si="6"/>
        <v>-11.518059781361204</v>
      </c>
      <c r="N39" s="74">
        <f t="shared" si="6"/>
        <v>-10.113485772112865</v>
      </c>
      <c r="O39" s="74">
        <f t="shared" si="6"/>
        <v>-10.097812894166932</v>
      </c>
      <c r="P39" s="74">
        <f t="shared" si="6"/>
        <v>-10.92720458211722</v>
      </c>
      <c r="Q39" s="74">
        <f t="shared" si="6"/>
        <v>-9.9603700866102152</v>
      </c>
      <c r="R39" s="74">
        <f t="shared" si="6"/>
        <v>-9.420080975847906</v>
      </c>
      <c r="S39" s="74">
        <f t="shared" si="6"/>
        <v>-9.5897725787117736</v>
      </c>
      <c r="T39" s="74">
        <f t="shared" si="6"/>
        <v>-9.6408383580583479</v>
      </c>
      <c r="U39" s="74">
        <f t="shared" si="6"/>
        <v>-9.565643015956212</v>
      </c>
      <c r="V39" s="74">
        <f t="shared" si="6"/>
        <v>-9.5275058046074594</v>
      </c>
      <c r="W39" s="74">
        <f t="shared" si="6"/>
        <v>-8.7761715969429712</v>
      </c>
      <c r="X39" s="74">
        <f t="shared" si="6"/>
        <v>-9.7018560411833441</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Devon</v>
      </c>
      <c r="G44" s="88"/>
      <c r="H44" s="89"/>
      <c r="I44" s="76">
        <f>VLOOKUP($F44,'LOW PAID'!$A$9:$N$444,6,FALSE)</f>
        <v>28</v>
      </c>
      <c r="J44" s="77">
        <f>VLOOKUP($F44,'LOW PAID'!$P$9:$W$444,6,FALSE)</f>
        <v>25</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Devon to Rural as a Region</v>
      </c>
      <c r="G47" s="122"/>
      <c r="H47" s="123"/>
      <c r="I47" s="74">
        <f>(I44-I45)</f>
        <v>2.8061253217868831</v>
      </c>
      <c r="J47" s="74">
        <f>(J44-J45)</f>
        <v>-0.68611650903005383</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Devon</v>
      </c>
      <c r="G52" s="88"/>
      <c r="H52" s="89"/>
      <c r="I52" s="76">
        <f>VLOOKUP($F52,INACTIVITY!$A$6:$BW$345,6,FALSE)</f>
        <v>21.1</v>
      </c>
      <c r="J52" s="77">
        <f>VLOOKUP($F52,INACTIVITY!$A$6:$BW$345,10,FALSE)</f>
        <v>22</v>
      </c>
      <c r="K52" s="77">
        <f>VLOOKUP($F52,INACTIVITY!$A$6:$BW$345,14,FALSE)</f>
        <v>20.399999999999999</v>
      </c>
      <c r="L52" s="77">
        <f>VLOOKUP($F52,INACTIVITY!$A$6:$BW$345,18,FALSE)</f>
        <v>18.8</v>
      </c>
      <c r="M52" s="77">
        <f>VLOOKUP($F52,INACTIVITY!$A$6:$BW$345,22,FALSE)</f>
        <v>20.399999999999999</v>
      </c>
      <c r="N52" s="77">
        <f>VLOOKUP($F52,INACTIVITY!$A$6:$BW$345,26,FALSE)</f>
        <v>19.100000000000001</v>
      </c>
      <c r="O52" s="77">
        <f>VLOOKUP($F52,INACTIVITY!$A$6:$BW$345,30,FALSE)</f>
        <v>22</v>
      </c>
      <c r="P52" s="77">
        <f>VLOOKUP($F52,INACTIVITY!$A$6:$BW$345,34,FALSE)</f>
        <v>16.899999999999999</v>
      </c>
      <c r="Q52" s="77">
        <f>VLOOKUP($F52,INACTIVITY!$A$6:$BW$345,38,FALSE)</f>
        <v>19.7</v>
      </c>
      <c r="R52" s="77">
        <f>VLOOKUP($F52,INACTIVITY!$A$6:$BW$345,42,FALSE)</f>
        <v>23.1</v>
      </c>
      <c r="S52" s="77">
        <f>VLOOKUP($F52,INACTIVITY!$A$6:$BW$345,46,FALSE)</f>
        <v>24.3</v>
      </c>
      <c r="T52" s="77">
        <f>VLOOKUP($F52,INACTIVITY!$A$6:$BW$345,50,FALSE)</f>
        <v>18.8</v>
      </c>
      <c r="U52" s="77">
        <f>VLOOKUP($F52,INACTIVITY!$A$6:$BW$345,54,FALSE)</f>
        <v>28.9</v>
      </c>
      <c r="V52" s="77">
        <f>VLOOKUP($F52,INACTIVITY!$A$6:$BW$345,58,FALSE)</f>
        <v>14.6</v>
      </c>
      <c r="W52" s="77">
        <f>VLOOKUP($F52,INACTIVITY!$A$6:$BW$345,62,FALSE)</f>
        <v>11.6</v>
      </c>
      <c r="X52" s="77">
        <f>VLOOKUP($F52,INACTIVITY!$A$6:$BW$345,66,FALSE)</f>
        <v>15.2</v>
      </c>
      <c r="Y52" s="77">
        <f>VLOOKUP($F52,INACTIVITY!$A$6:$BW$345,70,FALSE)</f>
        <v>16.7</v>
      </c>
      <c r="Z52" s="77">
        <f>VLOOKUP($F52,INACTIVITY!$A$6:$BW$345,74,FALSE)</f>
        <v>12.4</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Devon to Rural as a Region</v>
      </c>
      <c r="G55" s="122"/>
      <c r="H55" s="123"/>
      <c r="I55" s="74">
        <f>(I52-I53)</f>
        <v>-0.29564457161023583</v>
      </c>
      <c r="J55" s="74">
        <f t="shared" ref="J55:Z55" si="10">(J52-J53)</f>
        <v>0.99147727272727337</v>
      </c>
      <c r="K55" s="74">
        <f t="shared" si="10"/>
        <v>-0.46246539345877835</v>
      </c>
      <c r="L55" s="74">
        <f t="shared" si="10"/>
        <v>-2.5140653315366386</v>
      </c>
      <c r="M55" s="74">
        <f t="shared" si="10"/>
        <v>-0.43500231089200625</v>
      </c>
      <c r="N55" s="74">
        <f t="shared" si="10"/>
        <v>-1.833143757920439</v>
      </c>
      <c r="O55" s="74">
        <f t="shared" si="10"/>
        <v>0.30806287249482622</v>
      </c>
      <c r="P55" s="74">
        <f t="shared" si="10"/>
        <v>-4.5942457807534502</v>
      </c>
      <c r="Q55" s="74">
        <f t="shared" si="10"/>
        <v>-1.4825487944890945</v>
      </c>
      <c r="R55" s="74">
        <f t="shared" si="10"/>
        <v>2.3254069025612303</v>
      </c>
      <c r="S55" s="74">
        <f t="shared" si="10"/>
        <v>4.0267895440276007</v>
      </c>
      <c r="T55" s="74">
        <f t="shared" si="10"/>
        <v>-0.89619468340695718</v>
      </c>
      <c r="U55" s="74">
        <f t="shared" si="10"/>
        <v>9.0475706529305278</v>
      </c>
      <c r="V55" s="74">
        <f t="shared" si="10"/>
        <v>-4.6532773342803768</v>
      </c>
      <c r="W55" s="74">
        <f t="shared" si="10"/>
        <v>-7.5769560091828492</v>
      </c>
      <c r="X55" s="74">
        <f t="shared" si="10"/>
        <v>-3.6520649493649309</v>
      </c>
      <c r="Y55" s="74">
        <f t="shared" si="10"/>
        <v>-3.0725827218714628</v>
      </c>
      <c r="Z55" s="74">
        <f t="shared" si="10"/>
        <v>-8.6851797756300702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Devon</v>
      </c>
      <c r="G60" s="88"/>
      <c r="H60" s="89"/>
      <c r="I60" s="76">
        <f>VLOOKUP($F60,DISABILITY!$A$718:$I$1052,DISABILITY!B$1053,FALSE)</f>
        <v>25</v>
      </c>
      <c r="J60" s="77">
        <f>VLOOKUP($F60,DISABILITY!$A$718:$I$1052,DISABILITY!C$1053,FALSE)</f>
        <v>43.099999999999994</v>
      </c>
      <c r="K60" s="77">
        <f>VLOOKUP($F60,DISABILITY!$A$718:$I$1052,DISABILITY!D$1053,FALSE)</f>
        <v>29.999999999999993</v>
      </c>
      <c r="L60" s="77">
        <f>VLOOKUP($F60,DISABILITY!$A$718:$I$1052,DISABILITY!E$1053,FALSE)</f>
        <v>20.899999999999991</v>
      </c>
      <c r="M60" s="77">
        <f>VLOOKUP($F60,DISABILITY!$A$718:$I$1052,DISABILITY!F$1053,FALSE)</f>
        <v>29.299999999999997</v>
      </c>
      <c r="N60" s="77">
        <f>VLOOKUP($F60,DISABILITY!$A$718:$I$1052,DISABILITY!G$1053,FALSE)</f>
        <v>42.5</v>
      </c>
      <c r="O60" s="77">
        <f>VLOOKUP($F60,DISABILITY!$A$718:$I$1052,DISABILITY!H$1053,FALSE)</f>
        <v>31</v>
      </c>
      <c r="P60" s="77">
        <f>VLOOKUP($F60,DISABILITY!$A$718:$I$1052,DISABILITY!I$1053,FALSE)</f>
        <v>28.799999999999997</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Devon to Rural as a Region</v>
      </c>
      <c r="G63" s="122"/>
      <c r="H63" s="123"/>
      <c r="I63" s="74">
        <f>(I60-I61)</f>
        <v>-2.4201565406472483</v>
      </c>
      <c r="J63" s="74">
        <f t="shared" ref="J63:P63" si="12">(J60-J61)</f>
        <v>15.780955592948807</v>
      </c>
      <c r="K63" s="74">
        <f t="shared" si="12"/>
        <v>1.8808716385017874</v>
      </c>
      <c r="L63" s="74">
        <f t="shared" si="12"/>
        <v>-5.0909345389966845</v>
      </c>
      <c r="M63" s="74">
        <f t="shared" si="12"/>
        <v>3.8247741813338791</v>
      </c>
      <c r="N63" s="74">
        <f t="shared" si="12"/>
        <v>16.968752314558017</v>
      </c>
      <c r="O63" s="74">
        <f t="shared" si="12"/>
        <v>7.2027777120030549</v>
      </c>
      <c r="P63" s="74">
        <f t="shared" si="12"/>
        <v>3.4458220696578223</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Devon</v>
      </c>
      <c r="G68" s="88"/>
      <c r="H68" s="89"/>
      <c r="I68" s="76">
        <f>VLOOKUP($F68,'WORKLESS HOUSEHOLDS'!$DW$4:$EC$397,7,FALSE)</f>
        <v>5.7710906083213231</v>
      </c>
      <c r="J68" s="77">
        <f>VLOOKUP($F68,'WORKLESS HOUSEHOLDS'!$DN$4:$DT$397,7,FALSE)</f>
        <v>16.382375586197242</v>
      </c>
      <c r="K68" s="77">
        <f>VLOOKUP($F68,'WORKLESS HOUSEHOLDS'!$DE$4:$DK$397,7,FALSE)</f>
        <v>10.505706900905427</v>
      </c>
      <c r="L68" s="77">
        <f>VLOOKUP($F68,'WORKLESS HOUSEHOLDS'!$CV$4:$DB$397,7,FALSE)</f>
        <v>6.1074446203286881</v>
      </c>
      <c r="M68" s="77">
        <f>VLOOKUP($F68,'WORKLESS HOUSEHOLDS'!$CM$4:$CS$397,7,FALSE)</f>
        <v>7.0601183924799953</v>
      </c>
      <c r="N68" s="77" t="str">
        <f>VLOOKUP($F68,'WORKLESS HOUSEHOLDS'!$CD$4:$CJ$397,7,FALSE)</f>
        <v>*</v>
      </c>
      <c r="O68" s="77">
        <f>VLOOKUP($F68,'WORKLESS HOUSEHOLDS'!$BU$4:$CA$397,7,FALSE)</f>
        <v>12.556317335945153</v>
      </c>
      <c r="P68" s="77">
        <f>VLOOKUP($F68,'WORKLESS HOUSEHOLDS'!$BL$4:$BR$397,7,FALSE)</f>
        <v>5.7333704425271357</v>
      </c>
      <c r="Q68" s="77" t="str">
        <f>VLOOKUP($F68,'WORKLESS HOUSEHOLDS'!$BC$4:$BI$397,7,FALSE)</f>
        <v>#</v>
      </c>
      <c r="R68" s="77" t="str">
        <f>VLOOKUP($F68,'WORKLESS HOUSEHOLDS'!$AT$4:$AZ$397,7,FALSE)</f>
        <v>#</v>
      </c>
      <c r="S68" s="77">
        <f>VLOOKUP($F68,'WORKLESS HOUSEHOLDS'!$AK$4:$AQ$397,7,FALSE)</f>
        <v>13.019936007875954</v>
      </c>
      <c r="T68" s="77" t="str">
        <f>VLOOKUP($F68,'WORKLESS HOUSEHOLDS'!$AB$4:$AH$397,7,FALSE)</f>
        <v>#</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Devon to Rural as a Region</v>
      </c>
      <c r="G71" s="122"/>
      <c r="H71" s="123"/>
      <c r="I71" s="74">
        <f>(I68-I69)</f>
        <v>-4.2408552542653677</v>
      </c>
      <c r="J71" s="74">
        <f t="shared" ref="J71:W71" si="14">(J68-J69)</f>
        <v>5.4712207487222173</v>
      </c>
      <c r="K71" s="74">
        <f t="shared" si="14"/>
        <v>0.21246117174958279</v>
      </c>
      <c r="L71" s="74">
        <f t="shared" si="14"/>
        <v>-4.8585620410010444</v>
      </c>
      <c r="M71" s="74">
        <f t="shared" si="14"/>
        <v>-4.633660788708478</v>
      </c>
      <c r="N71" s="74" t="e">
        <f t="shared" si="14"/>
        <v>#VALUE!</v>
      </c>
      <c r="O71" s="74">
        <f t="shared" si="14"/>
        <v>1.5210640882026407</v>
      </c>
      <c r="P71" s="74">
        <f t="shared" si="14"/>
        <v>-3.9581274432407021</v>
      </c>
      <c r="Q71" s="74" t="e">
        <f t="shared" si="14"/>
        <v>#VALUE!</v>
      </c>
      <c r="R71" s="74" t="e">
        <f t="shared" si="14"/>
        <v>#VALUE!</v>
      </c>
      <c r="S71" s="74">
        <f t="shared" si="14"/>
        <v>2.8671911797270724</v>
      </c>
      <c r="T71" s="74" t="e">
        <f t="shared" si="14"/>
        <v>#VALUE!</v>
      </c>
      <c r="U71" s="74" t="e">
        <f t="shared" si="14"/>
        <v>#VALUE!</v>
      </c>
      <c r="V71" s="74" t="e">
        <f t="shared" si="14"/>
        <v>#VALUE!</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Devon</v>
      </c>
      <c r="G76" s="88"/>
      <c r="H76" s="89"/>
      <c r="I76" s="76">
        <f>VLOOKUP($F76,'SKILLED EMPLOYMENT'!$A$1506:$BW$1841,6,FALSE)</f>
        <v>47.099999999999994</v>
      </c>
      <c r="J76" s="77">
        <f>VLOOKUP($F76,'SKILLED EMPLOYMENT'!$A$1506:$BW$1841,10,FALSE)</f>
        <v>53.2</v>
      </c>
      <c r="K76" s="77">
        <f>VLOOKUP($F76,'SKILLED EMPLOYMENT'!$A$1506:$BW$1841,14,FALSE)</f>
        <v>54.099999999999994</v>
      </c>
      <c r="L76" s="77">
        <f>VLOOKUP($F76,'SKILLED EMPLOYMENT'!$A$1506:$BW$1841,18,FALSE)</f>
        <v>56.5</v>
      </c>
      <c r="M76" s="77">
        <f>VLOOKUP($F76,'SKILLED EMPLOYMENT'!$A$1506:$BW$1841,22,FALSE)</f>
        <v>57.199999999999996</v>
      </c>
      <c r="N76" s="77">
        <f>VLOOKUP($F76,'SKILLED EMPLOYMENT'!$A$1506:$BW$1841,26,FALSE)</f>
        <v>50.7</v>
      </c>
      <c r="O76" s="77">
        <f>VLOOKUP($F76,'SKILLED EMPLOYMENT'!$A$1506:$BW$1841,30,FALSE)</f>
        <v>52.8</v>
      </c>
      <c r="P76" s="77">
        <f>VLOOKUP($F76,'SKILLED EMPLOYMENT'!$A$1506:$BW$1841,34,FALSE)</f>
        <v>53.400000000000006</v>
      </c>
      <c r="Q76" s="77">
        <f>VLOOKUP($F76,'SKILLED EMPLOYMENT'!$A$1506:$BW$1841,38,FALSE)</f>
        <v>54.899999999999991</v>
      </c>
      <c r="R76" s="77">
        <f>VLOOKUP($F76,'SKILLED EMPLOYMENT'!$A$1506:$BW$1841,42,FALSE)</f>
        <v>53.5</v>
      </c>
      <c r="S76" s="77">
        <f>VLOOKUP($F76,'SKILLED EMPLOYMENT'!$A$1506:$BW$1841,46,FALSE)</f>
        <v>51.999999999999993</v>
      </c>
      <c r="T76" s="77">
        <f>VLOOKUP($F76,'SKILLED EMPLOYMENT'!$A$1506:$BW$1841,50,FALSE)</f>
        <v>50.599999999999994</v>
      </c>
      <c r="U76" s="77">
        <f>VLOOKUP($F76,'SKILLED EMPLOYMENT'!$A$1506:$BW$1841,54,FALSE)</f>
        <v>56.3</v>
      </c>
      <c r="V76" s="77">
        <f>VLOOKUP($F76,'SKILLED EMPLOYMENT'!$A$1506:$BW$1841,58,FALSE)</f>
        <v>54.9</v>
      </c>
      <c r="W76" s="77">
        <f>VLOOKUP($F76,'SKILLED EMPLOYMENT'!$A$1506:$BW$1841,62,FALSE)</f>
        <v>57.400000000000006</v>
      </c>
      <c r="X76" s="77">
        <f>VLOOKUP($F76,'SKILLED EMPLOYMENT'!$A$1506:$BW$1841,66,FALSE)</f>
        <v>60.7</v>
      </c>
      <c r="Y76" s="77">
        <f>VLOOKUP($F76,'SKILLED EMPLOYMENT'!$A$1506:$BW$1841,70,FALSE)</f>
        <v>57.5</v>
      </c>
      <c r="Z76" s="77">
        <f>VLOOKUP($F76,'SKILLED EMPLOYMENT'!$A$1506:$BW$1841,74,FALSE)</f>
        <v>46.900000000000006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Devon to Rural as a Region</v>
      </c>
      <c r="G79" s="122"/>
      <c r="H79" s="123"/>
      <c r="I79" s="74">
        <f>(I76-I77)</f>
        <v>-5.6000000000000085</v>
      </c>
      <c r="J79" s="74">
        <f t="shared" ref="J79:Z79" si="17">(J76-J77)</f>
        <v>0.30000000000000426</v>
      </c>
      <c r="K79" s="74">
        <f t="shared" si="17"/>
        <v>0.59999999999999432</v>
      </c>
      <c r="L79" s="74">
        <f t="shared" si="17"/>
        <v>2.5</v>
      </c>
      <c r="M79" s="74">
        <f t="shared" si="17"/>
        <v>3.0999999999999943</v>
      </c>
      <c r="N79" s="74">
        <f t="shared" si="17"/>
        <v>-3.6999999999999957</v>
      </c>
      <c r="O79" s="74">
        <f t="shared" si="17"/>
        <v>-2.6000000000000014</v>
      </c>
      <c r="P79" s="74">
        <f t="shared" si="17"/>
        <v>-2.1999999999999957</v>
      </c>
      <c r="Q79" s="74">
        <f t="shared" si="17"/>
        <v>-0.50000000000000711</v>
      </c>
      <c r="R79" s="74">
        <f t="shared" si="17"/>
        <v>-2.7000000000000028</v>
      </c>
      <c r="S79" s="74">
        <f t="shared" si="17"/>
        <v>-4.2000000000000099</v>
      </c>
      <c r="T79" s="74">
        <f t="shared" si="17"/>
        <v>-6.2000000000000028</v>
      </c>
      <c r="U79" s="74">
        <f t="shared" si="17"/>
        <v>-0.30000000000000426</v>
      </c>
      <c r="V79" s="74">
        <f t="shared" si="17"/>
        <v>-2.2000000000000028</v>
      </c>
      <c r="W79" s="74">
        <f t="shared" si="17"/>
        <v>-0.39999999999999147</v>
      </c>
      <c r="X79" s="74">
        <f t="shared" si="17"/>
        <v>1.9000000000000057</v>
      </c>
      <c r="Y79" s="74">
        <f t="shared" si="17"/>
        <v>-1.2000000000000028</v>
      </c>
      <c r="Z79" s="74">
        <f t="shared" si="17"/>
        <v>-11.499999999999993</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sf7YH9vdsY3HAJUCacYgfbErcCMpW3WS64VrACXvQQ1GSHYquOPyv0RHnkxB+uIRKPnjlXAHr2weZe4xVyBZog==" saltValue="0wn+DXmLNPrRhdMxS8dRH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2022-08-02T11:32:57Z</dcterms:modified>
</cp:coreProperties>
</file>