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1874C110-8F8F-449C-B880-AADA0F4A3FA5}" xr6:coauthVersionLast="47" xr6:coauthVersionMax="47" xr10:uidLastSave="{6CC5AE7F-E482-4D12-BEEA-9E0260BC17A9}"/>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<sst xmlns="http://schemas.openxmlformats.org/spreadsheetml/2006/main" count="32859" uniqueCount="1676">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</sst>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North Kesteven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27.31</c:v>
                </c:pt>
                <c:pt idx="1">
                  <c:v>27.3</c:v>
                </c:pt>
                <c:pt idx="2">
                  <c:v>28.17</c:v>
                </c:pt>
                <c:pt idx="3">
                  <c:v>28.82</c:v>
                </c:pt>
                <c:pt idx="4">
                  <c:v>28.85</c:v>
                </c:pt>
                <c:pt idx="5">
                  <c:v>28.09</c:v>
                </c:pt>
                <c:pt idx="6">
                  <c:v>27.47</c:v>
                </c:pt>
                <c:pt idx="7">
                  <c:v>27.92</c:v>
                </c:pt>
                <c:pt idx="8">
                  <c:v>29.28</c:v>
                </c:pt>
                <c:pt idx="9">
                  <c:v>30.49</c:v>
                </c:pt>
                <c:pt idx="10">
                  <c:v>30.51</c:v>
                </c:pt>
                <c:pt idx="11">
                  <c:v>30.18</c:v>
                </c:pt>
                <c:pt idx="12">
                  <c:v>30.16</c:v>
                </c:pt>
                <c:pt idx="13">
                  <c:v>31.2</c:v>
                </c:pt>
                <c:pt idx="14">
                  <c:v>32.26</c:v>
                </c:pt>
                <c:pt idx="15">
                  <c:v>32.94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North Kesteven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382.2</c:v>
                </c:pt>
                <c:pt idx="1">
                  <c:v>377.7</c:v>
                </c:pt>
                <c:pt idx="2">
                  <c:v>422.5</c:v>
                </c:pt>
                <c:pt idx="3">
                  <c:v>409.1</c:v>
                </c:pt>
                <c:pt idx="4">
                  <c:v>424.1</c:v>
                </c:pt>
                <c:pt idx="5">
                  <c:v>406.1</c:v>
                </c:pt>
                <c:pt idx="6">
                  <c:v>453.9</c:v>
                </c:pt>
                <c:pt idx="7">
                  <c:v>457.9</c:v>
                </c:pt>
                <c:pt idx="8">
                  <c:v>443.5</c:v>
                </c:pt>
                <c:pt idx="9">
                  <c:v>465.3</c:v>
                </c:pt>
                <c:pt idx="10">
                  <c:v>477.4</c:v>
                </c:pt>
                <c:pt idx="11">
                  <c:v>531</c:v>
                </c:pt>
                <c:pt idx="12">
                  <c:v>575.79999999999995</c:v>
                </c:pt>
                <c:pt idx="13">
                  <c:v>520.70000000000005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North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76.900000000000006</c:v>
                </c:pt>
                <c:pt idx="1">
                  <c:v>78.099999999999994</c:v>
                </c:pt>
                <c:pt idx="2">
                  <c:v>76.400000000000006</c:v>
                </c:pt>
                <c:pt idx="3">
                  <c:v>72.900000000000006</c:v>
                </c:pt>
                <c:pt idx="4">
                  <c:v>78.8</c:v>
                </c:pt>
                <c:pt idx="5">
                  <c:v>80.099999999999994</c:v>
                </c:pt>
                <c:pt idx="6">
                  <c:v>76.099999999999994</c:v>
                </c:pt>
                <c:pt idx="7">
                  <c:v>72.7</c:v>
                </c:pt>
                <c:pt idx="8">
                  <c:v>73.8</c:v>
                </c:pt>
                <c:pt idx="9">
                  <c:v>75.900000000000006</c:v>
                </c:pt>
                <c:pt idx="10">
                  <c:v>77</c:v>
                </c:pt>
                <c:pt idx="11">
                  <c:v>78.400000000000006</c:v>
                </c:pt>
                <c:pt idx="12">
                  <c:v>74.2</c:v>
                </c:pt>
                <c:pt idx="13">
                  <c:v>82.9</c:v>
                </c:pt>
                <c:pt idx="14">
                  <c:v>83</c:v>
                </c:pt>
                <c:pt idx="15">
                  <c:v>80.099999999999994</c:v>
                </c:pt>
                <c:pt idx="16">
                  <c:v>76.400000000000006</c:v>
                </c:pt>
                <c:pt idx="17">
                  <c:v>81.3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North Kesteven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13766</c:v>
                </c:pt>
                <c:pt idx="1">
                  <c:v>14413</c:v>
                </c:pt>
                <c:pt idx="2">
                  <c:v>14619</c:v>
                </c:pt>
                <c:pt idx="3">
                  <c:v>15459</c:v>
                </c:pt>
                <c:pt idx="4">
                  <c:v>15810</c:v>
                </c:pt>
                <c:pt idx="5">
                  <c:v>15873</c:v>
                </c:pt>
                <c:pt idx="6">
                  <c:v>16109</c:v>
                </c:pt>
                <c:pt idx="7">
                  <c:v>16501</c:v>
                </c:pt>
                <c:pt idx="8">
                  <c:v>16956</c:v>
                </c:pt>
                <c:pt idx="9">
                  <c:v>17277</c:v>
                </c:pt>
                <c:pt idx="10">
                  <c:v>17777</c:v>
                </c:pt>
                <c:pt idx="11">
                  <c:v>18411</c:v>
                </c:pt>
                <c:pt idx="12">
                  <c:v>18392</c:v>
                </c:pt>
                <c:pt idx="13">
                  <c:v>18745</c:v>
                </c:pt>
                <c:pt idx="14">
                  <c:v>19512</c:v>
                </c:pt>
                <c:pt idx="15">
                  <c:v>19912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North Kesteven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24.7</c:v>
                </c:pt>
                <c:pt idx="1">
                  <c:v>30.7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North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20.3</c:v>
                </c:pt>
                <c:pt idx="1">
                  <c:v>19.899999999999999</c:v>
                </c:pt>
                <c:pt idx="2">
                  <c:v>20.100000000000001</c:v>
                </c:pt>
                <c:pt idx="3">
                  <c:v>24.9</c:v>
                </c:pt>
                <c:pt idx="4">
                  <c:v>18.5</c:v>
                </c:pt>
                <c:pt idx="5">
                  <c:v>17.3</c:v>
                </c:pt>
                <c:pt idx="6">
                  <c:v>21.8</c:v>
                </c:pt>
                <c:pt idx="7">
                  <c:v>23</c:v>
                </c:pt>
                <c:pt idx="8">
                  <c:v>24.6</c:v>
                </c:pt>
                <c:pt idx="9">
                  <c:v>17.8</c:v>
                </c:pt>
                <c:pt idx="10">
                  <c:v>20</c:v>
                </c:pt>
                <c:pt idx="11">
                  <c:v>17.7</c:v>
                </c:pt>
                <c:pt idx="12">
                  <c:v>25.3</c:v>
                </c:pt>
                <c:pt idx="13">
                  <c:v>15.1</c:v>
                </c:pt>
                <c:pt idx="14">
                  <c:v>13.5</c:v>
                </c:pt>
                <c:pt idx="15">
                  <c:v>17.899999999999999</c:v>
                </c:pt>
                <c:pt idx="16">
                  <c:v>20.7</c:v>
                </c:pt>
                <c:pt idx="17">
                  <c:v>16</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North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29.4</c:v>
                </c:pt>
                <c:pt idx="1">
                  <c:v>36.5</c:v>
                </c:pt>
                <c:pt idx="2">
                  <c:v>8.7000000000000028</c:v>
                </c:pt>
                <c:pt idx="3">
                  <c:v>26.099999999999994</c:v>
                </c:pt>
                <c:pt idx="4">
                  <c:v>19.299999999999997</c:v>
                </c:pt>
                <c:pt idx="5">
                  <c:v>20.299999999999997</c:v>
                </c:pt>
                <c:pt idx="6">
                  <c:v>20.500000000000007</c:v>
                </c:pt>
                <c:pt idx="7">
                  <c:v>17.199999999999989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North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13.224822459933955</c:v>
                </c:pt>
                <c:pt idx="1">
                  <c:v>5.7184299455722831</c:v>
                </c:pt>
                <c:pt idx="2">
                  <c:v>5.9718517023881788</c:v>
                </c:pt>
                <c:pt idx="3">
                  <c:v>6.707481638851907</c:v>
                </c:pt>
                <c:pt idx="4">
                  <c:v>4.1080366912394979</c:v>
                </c:pt>
                <c:pt idx="5">
                  <c:v>8.1901297209324575</c:v>
                </c:pt>
                <c:pt idx="6">
                  <c:v>13.72939684839703</c:v>
                </c:pt>
                <c:pt idx="7">
                  <c:v>7.8028747433264893</c:v>
                </c:pt>
                <c:pt idx="8">
                  <c:v>0</c:v>
                </c:pt>
                <c:pt idx="9">
                  <c:v>14.097938144329897</c:v>
                </c:pt>
                <c:pt idx="10">
                  <c:v>15.623338328418814</c:v>
                </c:pt>
                <c:pt idx="11">
                  <c:v>10.576274046574417</c:v>
                </c:pt>
                <c:pt idx="12">
                  <c:v>8.245502453207342</c:v>
                </c:pt>
                <c:pt idx="13">
                  <c:v>0</c:v>
                </c:pt>
                <c:pt idx="14">
                  <c:v>4.7672824070339601</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North Kesteven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50.600000000000009</c:v>
                </c:pt>
                <c:pt idx="1">
                  <c:v>46.899999999999991</c:v>
                </c:pt>
                <c:pt idx="2">
                  <c:v>52.900000000000006</c:v>
                </c:pt>
                <c:pt idx="3">
                  <c:v>56.5</c:v>
                </c:pt>
                <c:pt idx="4">
                  <c:v>48.8</c:v>
                </c:pt>
                <c:pt idx="5">
                  <c:v>59.1</c:v>
                </c:pt>
                <c:pt idx="6">
                  <c:v>54.5</c:v>
                </c:pt>
                <c:pt idx="7">
                  <c:v>56.3</c:v>
                </c:pt>
                <c:pt idx="8">
                  <c:v>57.600000000000009</c:v>
                </c:pt>
                <c:pt idx="9">
                  <c:v>58.7</c:v>
                </c:pt>
                <c:pt idx="10">
                  <c:v>55.9</c:v>
                </c:pt>
                <c:pt idx="11">
                  <c:v>58.2</c:v>
                </c:pt>
                <c:pt idx="12">
                  <c:v>54.7</c:v>
                </c:pt>
                <c:pt idx="13">
                  <c:v>53.8</c:v>
                </c:pt>
                <c:pt idx="14">
                  <c:v>59.099999999999994</c:v>
                </c:pt>
                <c:pt idx="15">
                  <c:v>52.2</c:v>
                </c:pt>
                <c:pt idx="16">
                  <c:v>59.800000000000004</c:v>
                </c:pt>
                <c:pt idx="17">
                  <c:v>56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North Kesteven has fluctuated over the years but is generally in line with or above the rural position.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North Kesteven,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North Kesteven increases from 2017 and 2018, taking it from being in line with the rural situation to being 5% above.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North Kesteven's economic inactivity rate has fluctuated taking it both above, but for the majority of years,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North Kesteven has a general downward trend from 2014 to 2021 taking it below the England and rural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North Kesteven has been less stable and has in certain years been significantly lower than both the England and rural average position, yet in other years above them both.</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North Kesteven has in general been in line with the England and rural proportions of employed people in skilled employment.</a:t>
          </a:r>
          <a:endParaRPr lang="en-GB" sz="1100">
            <a:latin typeface="Avenir Next LT Pro" panose="020B0504020202020204" pitchFamily="34" charset="0"/>
          </a:endParaRPr>
        </a:p>
      </xdr:txBody>
    </xdr:sp>
    <xdr:clientData/>
  </xdr:twoCellAnchor>
  <xdr:twoCellAnchor>
    <xdr:from>
      <xdr:col>0</xdr:col>
      <xdr:colOff>556260</xdr:colOff>
      <xdr:row>12</xdr:row>
      <xdr:rowOff>510540</xdr:rowOff>
    </xdr:from>
    <xdr:to>
      <xdr:col>1</xdr:col>
      <xdr:colOff>2537460</xdr:colOff>
      <xdr:row>14</xdr:row>
      <xdr:rowOff>358140</xdr:rowOff>
    </xdr:to>
    <xdr:sp macro="" textlink="">
      <xdr:nvSpPr>
        <xdr:cNvPr id="20" name="TextBox 19">
          <a:extLst>
            <a:ext uri="{FF2B5EF4-FFF2-40B4-BE49-F238E27FC236}">
              <a16:creationId xmlns:a16="http://schemas.microsoft.com/office/drawing/2014/main" id="{E9B747D2-E70E-4CFC-B67E-ECA204BD6559}"/>
            </a:ext>
          </a:extLst>
        </xdr:cNvPr>
        <xdr:cNvSpPr txBox="1"/>
      </xdr:nvSpPr>
      <xdr:spPr>
        <a:xfrm>
          <a:off x="556260" y="3497580"/>
          <a:ext cx="6682740" cy="11430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North Kesteven in 2004 is above both the England and rural situations.    It's overall rate of increase however to 2019 is below that of both England and rural and so in 2019 GVA per hour worked for North Kesteven is below the England situation and the gap has reduced to 'Rural as a Region'.</a:t>
          </a:r>
          <a:endParaRPr lang="en-GB" sz="1100">
            <a:latin typeface="Avenir Next LT Pro" panose="020B0504020202020204" pitchFamily="34" charset="0"/>
          </a:endParaRPr>
        </a:p>
      </xdr:txBody>
    </xdr:sp>
    <xdr:clientData/>
  </xdr:twoCellAnchor>
  <xdr:twoCellAnchor>
    <xdr:from>
      <xdr:col>0</xdr:col>
      <xdr:colOff>617220</xdr:colOff>
      <xdr:row>20</xdr:row>
      <xdr:rowOff>617220</xdr:rowOff>
    </xdr:from>
    <xdr:to>
      <xdr:col>1</xdr:col>
      <xdr:colOff>2598420</xdr:colOff>
      <xdr:row>22</xdr:row>
      <xdr:rowOff>144780</xdr:rowOff>
    </xdr:to>
    <xdr:sp macro="" textlink="">
      <xdr:nvSpPr>
        <xdr:cNvPr id="21" name="TextBox 20">
          <a:extLst>
            <a:ext uri="{FF2B5EF4-FFF2-40B4-BE49-F238E27FC236}">
              <a16:creationId xmlns:a16="http://schemas.microsoft.com/office/drawing/2014/main" id="{4E92CA22-C452-49CE-A443-79F4C659DA0A}"/>
            </a:ext>
          </a:extLst>
        </xdr:cNvPr>
        <xdr:cNvSpPr txBox="1"/>
      </xdr:nvSpPr>
      <xdr:spPr>
        <a:xfrm>
          <a:off x="61722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North Kesteven has fluctuated a little over the years and in 2020 increased markedly before dropping back below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313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North Kesteven</v>
      </c>
      <c r="G12" s="88" t="str">
        <f>IFERROR(VLOOKUP(F12,GVA!B244:B552,1,FALSE),VLOOKUP(F12,GVA!B6:C230,2,FALSE))</f>
        <v>North Kesteven</v>
      </c>
      <c r="H12" s="89" t="str">
        <f>IF(F12=G12,"",G12)</f>
        <v/>
      </c>
      <c r="I12" s="76">
        <f>IFERROR(VLOOKUP($F12,GVA!$B$7:$S$230,GVA!D$3,FALSE),VLOOKUP($F12,GVA!$B$244:$T$554,GVA!E$3,FALSE))</f>
        <v>27.31</v>
      </c>
      <c r="J12" s="77">
        <f>IFERROR(VLOOKUP($F12,GVA!$B$7:$S$230,GVA!E$3,FALSE),VLOOKUP($F12,GVA!$B$244:$T$554,GVA!F$3,FALSE))</f>
        <v>27.3</v>
      </c>
      <c r="K12" s="77">
        <f>IFERROR(VLOOKUP($F12,GVA!$B$7:$S$230,GVA!F$3,FALSE),VLOOKUP($F12,GVA!$B$244:$T$554,GVA!G$3,FALSE))</f>
        <v>28.17</v>
      </c>
      <c r="L12" s="77">
        <f>IFERROR(VLOOKUP($F12,GVA!$B$7:$S$230,GVA!G$3,FALSE),VLOOKUP($F12,GVA!$B$244:$T$554,GVA!H$3,FALSE))</f>
        <v>28.82</v>
      </c>
      <c r="M12" s="77">
        <f>IFERROR(VLOOKUP($F12,GVA!$B$7:$S$230,GVA!H$3,FALSE),VLOOKUP($F12,GVA!$B$244:$T$554,GVA!I$3,FALSE))</f>
        <v>28.85</v>
      </c>
      <c r="N12" s="77">
        <f>IFERROR(VLOOKUP($F12,GVA!$B$7:$S$230,GVA!I$3,FALSE),VLOOKUP($F12,GVA!$B$244:$T$554,GVA!J$3,FALSE))</f>
        <v>28.09</v>
      </c>
      <c r="O12" s="77">
        <f>IFERROR(VLOOKUP($F12,GVA!$B$7:$S$230,GVA!J$3,FALSE),VLOOKUP($F12,GVA!$B$244:$T$554,GVA!K$3,FALSE))</f>
        <v>27.47</v>
      </c>
      <c r="P12" s="77">
        <f>IFERROR(VLOOKUP($F12,GVA!$B$7:$S$230,GVA!K$3,FALSE),VLOOKUP($F12,GVA!$B$244:$T$554,GVA!L$3,FALSE))</f>
        <v>27.92</v>
      </c>
      <c r="Q12" s="77">
        <f>IFERROR(VLOOKUP($F12,GVA!$B$7:$S$230,GVA!L$3,FALSE),VLOOKUP($F12,GVA!$B$244:$T$554,GVA!M$3,FALSE))</f>
        <v>29.28</v>
      </c>
      <c r="R12" s="77">
        <f>IFERROR(VLOOKUP($F12,GVA!$B$7:$S$230,GVA!M$3,FALSE),VLOOKUP($F12,GVA!$B$244:$T$554,GVA!N$3,FALSE))</f>
        <v>30.49</v>
      </c>
      <c r="S12" s="77">
        <f>IFERROR(VLOOKUP($F12,GVA!$B$7:$S$230,GVA!N$3,FALSE),VLOOKUP($F12,GVA!$B$244:$T$554,GVA!O$3,FALSE))</f>
        <v>30.51</v>
      </c>
      <c r="T12" s="77">
        <f>IFERROR(VLOOKUP($F12,GVA!$B$7:$S$230,GVA!O$3,FALSE),VLOOKUP($F12,GVA!$B$244:$T$554,GVA!P$3,FALSE))</f>
        <v>30.18</v>
      </c>
      <c r="U12" s="77">
        <f>IFERROR(VLOOKUP($F12,GVA!$B$7:$S$230,GVA!P$3,FALSE),VLOOKUP($F12,GVA!$B$244:$T$554,GVA!Q$3,FALSE))</f>
        <v>30.16</v>
      </c>
      <c r="V12" s="77">
        <f>IFERROR(VLOOKUP($F12,GVA!$B$7:$S$230,GVA!Q$3,FALSE),VLOOKUP($F12,GVA!$B$244:$T$554,GVA!R$3,FALSE))</f>
        <v>31.2</v>
      </c>
      <c r="W12" s="77">
        <f>IFERROR(VLOOKUP($F12,GVA!$B$7:$S$230,GVA!R$3,FALSE),VLOOKUP($F12,GVA!$B$244:$T$554,GVA!S$3,FALSE))</f>
        <v>32.26</v>
      </c>
      <c r="X12" s="77">
        <f>IFERROR(VLOOKUP($F12,GVA!$B$7:$S$230,GVA!S$3,FALSE),VLOOKUP($F12,GVA!$B$244:$T$554,GVA!T$3,FALSE))</f>
        <v>32.94</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North Kesteven to Rural as a Region</v>
      </c>
      <c r="G15" s="122"/>
      <c r="H15" s="123"/>
      <c r="I15" s="74">
        <f>100*((I12-I13)/I13)</f>
        <v>16.014706402949422</v>
      </c>
      <c r="J15" s="74">
        <f t="shared" ref="J15:X15" si="0">100*((J12-J13)/J13)</f>
        <v>16.295109235856138</v>
      </c>
      <c r="K15" s="74">
        <f t="shared" si="0"/>
        <v>15.9071872566163</v>
      </c>
      <c r="L15" s="74">
        <f t="shared" si="0"/>
        <v>16.02921723126471</v>
      </c>
      <c r="M15" s="74">
        <f t="shared" si="0"/>
        <v>14.191204534852513</v>
      </c>
      <c r="N15" s="74">
        <f t="shared" si="0"/>
        <v>10.274756859574424</v>
      </c>
      <c r="O15" s="74">
        <f t="shared" si="0"/>
        <v>6.5136611012892809</v>
      </c>
      <c r="P15" s="74">
        <f t="shared" si="0"/>
        <v>6.6681220919920001</v>
      </c>
      <c r="Q15" s="74">
        <f t="shared" si="0"/>
        <v>9.6189330124348089</v>
      </c>
      <c r="R15" s="74">
        <f t="shared" si="0"/>
        <v>12.203135883922299</v>
      </c>
      <c r="S15" s="74">
        <f t="shared" si="0"/>
        <v>10.44486677267964</v>
      </c>
      <c r="T15" s="74">
        <f t="shared" si="0"/>
        <v>7.2186225913958637</v>
      </c>
      <c r="U15" s="74">
        <f t="shared" si="0"/>
        <v>4.5877695257832638</v>
      </c>
      <c r="V15" s="74">
        <f t="shared" si="0"/>
        <v>5.3312702208468234</v>
      </c>
      <c r="W15" s="74">
        <f t="shared" si="0"/>
        <v>6.699636569817641</v>
      </c>
      <c r="X15" s="74">
        <f t="shared" si="0"/>
        <v>7.8186189509451056</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North Kesteven</v>
      </c>
      <c r="G20" s="88"/>
      <c r="H20" s="89"/>
      <c r="I20" s="80">
        <f>IF(VLOOKUP($F20,PAY!$A$11:$AE$349,4,FALSE)="-",#N/A,VLOOKUP($F20,PAY!$A$11:$AE$349,4,FALSE))</f>
        <v>382.2</v>
      </c>
      <c r="J20" s="80">
        <f>IF(VLOOKUP($F20,PAY!$A$11:$AE$349,6,FALSE)="-",#N/A,VLOOKUP($F20,PAY!$A$11:$AE$349,6,FALSE))</f>
        <v>377.7</v>
      </c>
      <c r="K20" s="80">
        <f>IF(VLOOKUP($F20,PAY!$A$11:$AE$349,8,FALSE)="-",#N/A,VLOOKUP($F20,PAY!$A$11:$AE$349,8,FALSE))</f>
        <v>422.5</v>
      </c>
      <c r="L20" s="80">
        <f>IF(VLOOKUP($F20,PAY!$A$11:$AE$349,10,FALSE)="-",#N/A,VLOOKUP($F20,PAY!$A$11:$AE$349,10,FALSE))</f>
        <v>409.1</v>
      </c>
      <c r="M20" s="80">
        <f>IF(VLOOKUP($F20,PAY!$A$11:$AE$349,12,FALSE)="-",#N/A,VLOOKUP($F20,PAY!$A$11:$AE$349,12,FALSE))</f>
        <v>424.1</v>
      </c>
      <c r="N20" s="80">
        <f>IF(VLOOKUP($F20,PAY!$A$11:$AE$349,14,FALSE)="-",#N/A,VLOOKUP($F20,PAY!$A$11:$AE$349,14,FALSE))</f>
        <v>406.1</v>
      </c>
      <c r="O20" s="80">
        <f>IF(VLOOKUP($F20,PAY!$A$11:$AE$349,16,FALSE)="-",#N/A,VLOOKUP($F20,PAY!$A$11:$AE$349,16,FALSE))</f>
        <v>453.9</v>
      </c>
      <c r="P20" s="80">
        <f>IF(VLOOKUP($F20,PAY!$A$11:$AE$349,18,FALSE)="-",#N/A,VLOOKUP($F20,PAY!$A$11:$AE$349,18,FALSE))</f>
        <v>457.9</v>
      </c>
      <c r="Q20" s="80">
        <f>IF(VLOOKUP($F20,PAY!$A$11:$AE$349,20,FALSE)="-",#N/A,VLOOKUP($F20,PAY!$A$11:$AE$349,20,FALSE))</f>
        <v>443.5</v>
      </c>
      <c r="R20" s="80">
        <f>IF(VLOOKUP($F20,PAY!$A$11:$AE$349,22,FALSE)="-",#N/A,VLOOKUP($F20,PAY!$A$11:$AE$349,22,FALSE))</f>
        <v>465.3</v>
      </c>
      <c r="S20" s="80">
        <f>IF(VLOOKUP($F20,PAY!$A$11:$AE$349,24,FALSE)="-",#N/A,VLOOKUP($F20,PAY!$A$11:$AE$349,24,FALSE))</f>
        <v>477.4</v>
      </c>
      <c r="T20" s="80">
        <f>IF(VLOOKUP($F20,PAY!$A$11:$AE$349,26,FALSE)="-",#N/A,VLOOKUP($F20,PAY!$A$11:$AE$349,26,FALSE))</f>
        <v>531</v>
      </c>
      <c r="U20" s="80">
        <f>IF(VLOOKUP($F20,PAY!$A$11:$AE$349,28,FALSE)="-",#N/A,VLOOKUP($F20,PAY!$A$11:$AE$349,28,FALSE))</f>
        <v>575.79999999999995</v>
      </c>
      <c r="V20" s="80">
        <f>IF(VLOOKUP($F20,PAY!$A$11:$AE$349,30,FALSE)="-",#N/A,VLOOKUP($F20,PAY!$A$11:$AE$349,30,FALSE))</f>
        <v>520.70000000000005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North Kesteven to Rural as a Region</v>
      </c>
      <c r="G23" s="122"/>
      <c r="H23" s="123"/>
      <c r="I23" s="74">
        <f>100*((I20-I21)/I21)</f>
        <v>-11.730553346742131</v>
      </c>
      <c r="J23" s="74">
        <f t="shared" ref="J23:V23" si="2">100*((J20-J21)/J21)</f>
        <v>-13.554957944727361</v>
      </c>
      <c r="K23" s="74">
        <f t="shared" si="2"/>
        <v>-5.7156738952964714</v>
      </c>
      <c r="L23" s="74">
        <f t="shared" si="2"/>
        <v>-9.2206530043593311</v>
      </c>
      <c r="M23" s="74">
        <f t="shared" si="2"/>
        <v>-6.8409696309107453</v>
      </c>
      <c r="N23" s="74">
        <f t="shared" si="2"/>
        <v>-12.322017130082584</v>
      </c>
      <c r="O23" s="74">
        <f t="shared" si="2"/>
        <v>-3.5901530916775592</v>
      </c>
      <c r="P23" s="74">
        <f t="shared" si="2"/>
        <v>-3.563764132558811</v>
      </c>
      <c r="Q23" s="74">
        <f t="shared" si="2"/>
        <v>-9.3940639942486488</v>
      </c>
      <c r="R23" s="74">
        <f t="shared" si="2"/>
        <v>-7.6890044072776265</v>
      </c>
      <c r="S23" s="74">
        <f t="shared" si="2"/>
        <v>-7.1974662718779374</v>
      </c>
      <c r="T23" s="74">
        <f t="shared" si="2"/>
        <v>-0.50568025928659543</v>
      </c>
      <c r="U23" s="74">
        <f t="shared" si="2"/>
        <v>8.4270708079043821</v>
      </c>
      <c r="V23" s="74">
        <f t="shared" si="2"/>
        <v>-7.7188996671158012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North Kesteven</v>
      </c>
      <c r="G28" s="88"/>
      <c r="H28" s="89"/>
      <c r="I28" s="76">
        <f>VLOOKUP($F28,EMPLOYMENT!$A$6:$BW$345,6,FALSE)</f>
        <v>76.900000000000006</v>
      </c>
      <c r="J28" s="77">
        <f>VLOOKUP($F28,EMPLOYMENT!$A$6:$BW$345,10,FALSE)</f>
        <v>78.099999999999994</v>
      </c>
      <c r="K28" s="77">
        <f>VLOOKUP($F28,EMPLOYMENT!$A$6:$BW$345,14,FALSE)</f>
        <v>76.400000000000006</v>
      </c>
      <c r="L28" s="77">
        <f>VLOOKUP($F28,EMPLOYMENT!$A$6:$BW$345,18,FALSE)</f>
        <v>72.900000000000006</v>
      </c>
      <c r="M28" s="77">
        <f>VLOOKUP($F28,EMPLOYMENT!$A$6:$BW$345,22,FALSE)</f>
        <v>78.8</v>
      </c>
      <c r="N28" s="77">
        <f>VLOOKUP($F28,EMPLOYMENT!$A$6:$BW$345,26,FALSE)</f>
        <v>80.099999999999994</v>
      </c>
      <c r="O28" s="77">
        <f>VLOOKUP($F28,EMPLOYMENT!$A$6:$BW$345,30,FALSE)</f>
        <v>76.099999999999994</v>
      </c>
      <c r="P28" s="77">
        <f>VLOOKUP($F28,EMPLOYMENT!$A$6:$BW$345,34,FALSE)</f>
        <v>72.7</v>
      </c>
      <c r="Q28" s="77">
        <f>VLOOKUP($F28,EMPLOYMENT!$A$6:$BW$345,38,FALSE)</f>
        <v>73.8</v>
      </c>
      <c r="R28" s="77">
        <f>VLOOKUP($F28,EMPLOYMENT!$A$6:$BW$345,42,FALSE)</f>
        <v>75.900000000000006</v>
      </c>
      <c r="S28" s="77">
        <f>VLOOKUP($F28,EMPLOYMENT!$A$6:$BW$345,46,FALSE)</f>
        <v>77</v>
      </c>
      <c r="T28" s="77">
        <f>VLOOKUP($F28,EMPLOYMENT!$A$6:$BW$345,50,FALSE)</f>
        <v>78.400000000000006</v>
      </c>
      <c r="U28" s="77">
        <f>VLOOKUP($F28,EMPLOYMENT!$A$6:$BW$345,54,FALSE)</f>
        <v>74.2</v>
      </c>
      <c r="V28" s="77">
        <f>VLOOKUP($F28,EMPLOYMENT!$A$6:$BW$345,58,FALSE)</f>
        <v>82.9</v>
      </c>
      <c r="W28" s="77">
        <f>VLOOKUP($F28,EMPLOYMENT!$A$6:$BW$345,62,FALSE)</f>
        <v>83</v>
      </c>
      <c r="X28" s="77">
        <f>VLOOKUP($F28,EMPLOYMENT!$A$6:$BW$345,66,FALSE)</f>
        <v>80.099999999999994</v>
      </c>
      <c r="Y28" s="77">
        <f>VLOOKUP($F28,EMPLOYMENT!$A$6:$BW$345,70,FALSE)</f>
        <v>76.400000000000006</v>
      </c>
      <c r="Z28" s="77">
        <f>VLOOKUP($F28,EMPLOYMENT!$A$6:$BW$345,74,FALSE)</f>
        <v>81.3</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North Kesteven to Rural as a Region</v>
      </c>
      <c r="G31" s="122"/>
      <c r="H31" s="123"/>
      <c r="I31" s="74">
        <f>(I28-I29)</f>
        <v>0.78865808059826747</v>
      </c>
      <c r="J31" s="74">
        <f t="shared" ref="J31:Z31" si="4">(J28-J29)</f>
        <v>1.7870245333170374</v>
      </c>
      <c r="K31" s="74">
        <f t="shared" si="4"/>
        <v>0.52681110051324254</v>
      </c>
      <c r="L31" s="74">
        <f t="shared" si="4"/>
        <v>-2.740468302627832</v>
      </c>
      <c r="M31" s="74">
        <f t="shared" si="4"/>
        <v>3.0644756266682549</v>
      </c>
      <c r="N31" s="74">
        <f t="shared" si="4"/>
        <v>5.5904601571268131</v>
      </c>
      <c r="O31" s="74">
        <f t="shared" si="4"/>
        <v>2.5528668610301253</v>
      </c>
      <c r="P31" s="74">
        <f t="shared" si="4"/>
        <v>-1.0342954032776106</v>
      </c>
      <c r="Q31" s="74">
        <f t="shared" si="4"/>
        <v>-0.23315747546257626</v>
      </c>
      <c r="R31" s="74">
        <f t="shared" si="4"/>
        <v>1.1555250700997988</v>
      </c>
      <c r="S31" s="74">
        <f t="shared" si="4"/>
        <v>0.89113965992439148</v>
      </c>
      <c r="T31" s="74">
        <f t="shared" si="4"/>
        <v>1.2094680243909863</v>
      </c>
      <c r="U31" s="74">
        <f t="shared" si="4"/>
        <v>-2.7716324817080391</v>
      </c>
      <c r="V31" s="74">
        <f t="shared" si="4"/>
        <v>4.867213114754108</v>
      </c>
      <c r="W31" s="74">
        <f t="shared" si="4"/>
        <v>4.951843106585855</v>
      </c>
      <c r="X31" s="74">
        <f t="shared" si="4"/>
        <v>1.5087006210432889</v>
      </c>
      <c r="Y31" s="74">
        <f t="shared" si="4"/>
        <v>-0.61434629612919878</v>
      </c>
      <c r="Z31" s="74">
        <f t="shared" si="4"/>
        <v>5.1442419221209548</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North Kesteven</v>
      </c>
      <c r="G36" s="88" t="str">
        <f>IFERROR(VLOOKUP(F36,GDHI!B338:C574,2,FALSE),VLOOKUP(F36,GDHI!C3:C336,1,FALSE))</f>
        <v>North Kesteven</v>
      </c>
      <c r="H36" s="89" t="str">
        <f>IF(F36=G36,"",G36)</f>
        <v/>
      </c>
      <c r="I36" s="83">
        <f>IFERROR(VLOOKUP($F36,GDHI!$B$338:$U$574,GDHI!G$578,FALSE),VLOOKUP($F36,GDHI!$C$3:$U$336,GDHI!F$578,FALSE))</f>
        <v>13766</v>
      </c>
      <c r="J36" s="84">
        <f>IFERROR(VLOOKUP($F36,GDHI!$B$338:$U$574,GDHI!H$578,FALSE),VLOOKUP($F36,GDHI!$C$3:$U$336,GDHI!G$578,FALSE))</f>
        <v>14413</v>
      </c>
      <c r="K36" s="84">
        <f>IFERROR(VLOOKUP($F36,GDHI!$B$338:$U$574,GDHI!I$578,FALSE),VLOOKUP($F36,GDHI!$C$3:$U$336,GDHI!H$578,FALSE))</f>
        <v>14619</v>
      </c>
      <c r="L36" s="84">
        <f>IFERROR(VLOOKUP($F36,GDHI!$B$338:$U$574,GDHI!J$578,FALSE),VLOOKUP($F36,GDHI!$C$3:$U$336,GDHI!I$578,FALSE))</f>
        <v>15459</v>
      </c>
      <c r="M36" s="84">
        <f>IFERROR(VLOOKUP($F36,GDHI!$B$338:$U$574,GDHI!K$578,FALSE),VLOOKUP($F36,GDHI!$C$3:$U$336,GDHI!J$578,FALSE))</f>
        <v>15810</v>
      </c>
      <c r="N36" s="84">
        <f>IFERROR(VLOOKUP($F36,GDHI!$B$338:$U$574,GDHI!L$578,FALSE),VLOOKUP($F36,GDHI!$C$3:$U$336,GDHI!K$578,FALSE))</f>
        <v>15873</v>
      </c>
      <c r="O36" s="84">
        <f>IFERROR(VLOOKUP($F36,GDHI!$B$338:$U$574,GDHI!M$578,FALSE),VLOOKUP($F36,GDHI!$C$3:$U$336,GDHI!L$578,FALSE))</f>
        <v>16109</v>
      </c>
      <c r="P36" s="84">
        <f>IFERROR(VLOOKUP($F36,GDHI!$B$338:$U$574,GDHI!N$578,FALSE),VLOOKUP($F36,GDHI!$C$3:$U$336,GDHI!M$578,FALSE))</f>
        <v>16501</v>
      </c>
      <c r="Q36" s="84">
        <f>IFERROR(VLOOKUP($F36,GDHI!$B$338:$U$574,GDHI!O$578,FALSE),VLOOKUP($F36,GDHI!$C$3:$U$336,GDHI!N$578,FALSE))</f>
        <v>16956</v>
      </c>
      <c r="R36" s="84">
        <f>IFERROR(VLOOKUP($F36,GDHI!$B$338:$U$574,GDHI!P$578,FALSE),VLOOKUP($F36,GDHI!$C$3:$U$336,GDHI!O$578,FALSE))</f>
        <v>17277</v>
      </c>
      <c r="S36" s="84">
        <f>IFERROR(VLOOKUP($F36,GDHI!$B$338:$U$574,GDHI!Q$578,FALSE),VLOOKUP($F36,GDHI!$C$3:$U$336,GDHI!P$578,FALSE))</f>
        <v>17777</v>
      </c>
      <c r="T36" s="84">
        <f>IFERROR(VLOOKUP($F36,GDHI!$B$338:$U$574,GDHI!R$578,FALSE),VLOOKUP($F36,GDHI!$C$3:$U$336,GDHI!Q$578,FALSE))</f>
        <v>18411</v>
      </c>
      <c r="U36" s="84">
        <f>IFERROR(VLOOKUP($F36,GDHI!$B$338:$U$574,GDHI!S$578,FALSE),VLOOKUP($F36,GDHI!$C$3:$U$336,GDHI!R$578,FALSE))</f>
        <v>18392</v>
      </c>
      <c r="V36" s="84">
        <f>IFERROR(VLOOKUP($F36,GDHI!$B$338:$U$574,GDHI!T$578,FALSE),VLOOKUP($F36,GDHI!$C$3:$U$336,GDHI!S$578,FALSE))</f>
        <v>18745</v>
      </c>
      <c r="W36" s="84">
        <f>IFERROR(VLOOKUP($F36,GDHI!$B$338:$U$574,GDHI!U$578,FALSE),VLOOKUP($F36,GDHI!$C$3:$U$336,GDHI!T$578,FALSE))</f>
        <v>19512</v>
      </c>
      <c r="X36" s="84">
        <f>IFERROR(VLOOKUP($F36,GDHI!$B$338:$U$574,GDHI!V$578,FALSE),VLOOKUP($F36,GDHI!$C$3:$U$336,GDHI!U$578,FALSE))</f>
        <v>19912</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North Kesteven to Rural as a Region</v>
      </c>
      <c r="G39" s="122"/>
      <c r="H39" s="123"/>
      <c r="I39" s="74">
        <f>100*((I36-I37)/I37)</f>
        <v>-6.4142221013630651</v>
      </c>
      <c r="J39" s="74">
        <f t="shared" ref="J39:X39" si="6">100*((J36-J37)/J37)</f>
        <v>-6.0518468108088861</v>
      </c>
      <c r="K39" s="74">
        <f t="shared" si="6"/>
        <v>-8.1962065771501962</v>
      </c>
      <c r="L39" s="74">
        <f t="shared" si="6"/>
        <v>-6.6946319213466499</v>
      </c>
      <c r="M39" s="74">
        <f t="shared" si="6"/>
        <v>-7.3453785364499051</v>
      </c>
      <c r="N39" s="74">
        <f t="shared" si="6"/>
        <v>-8.2109727007686253</v>
      </c>
      <c r="O39" s="74">
        <f t="shared" si="6"/>
        <v>-7.9901949118256086</v>
      </c>
      <c r="P39" s="74">
        <f t="shared" si="6"/>
        <v>-7.298000807916508</v>
      </c>
      <c r="Q39" s="74">
        <f t="shared" si="6"/>
        <v>-7.6790249252320741</v>
      </c>
      <c r="R39" s="74">
        <f t="shared" si="6"/>
        <v>-8.4610867465912669</v>
      </c>
      <c r="S39" s="74">
        <f t="shared" si="6"/>
        <v>-8.3472506347946638</v>
      </c>
      <c r="T39" s="74">
        <f t="shared" si="6"/>
        <v>-10.007436709413192</v>
      </c>
      <c r="U39" s="74">
        <f t="shared" si="6"/>
        <v>-10.82625489756952</v>
      </c>
      <c r="V39" s="74">
        <f t="shared" si="6"/>
        <v>-10.591158599080917</v>
      </c>
      <c r="W39" s="74">
        <f t="shared" si="6"/>
        <v>-10.667034388936072</v>
      </c>
      <c r="X39" s="74">
        <f t="shared" si="6"/>
        <v>-10.568682292566164</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North Kesteven</v>
      </c>
      <c r="G44" s="88"/>
      <c r="H44" s="89"/>
      <c r="I44" s="76">
        <f>VLOOKUP($F44,'LOW PAID'!$A$9:$N$444,6,FALSE)</f>
        <v>24.7</v>
      </c>
      <c r="J44" s="77">
        <f>VLOOKUP($F44,'LOW PAID'!$P$9:$W$444,6,FALSE)</f>
        <v>30.7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North Kesteven to Rural as a Region</v>
      </c>
      <c r="G47" s="122"/>
      <c r="H47" s="123"/>
      <c r="I47" s="74">
        <f>(I44-I45)</f>
        <v>-0.49387467821311759</v>
      </c>
      <c r="J47" s="74">
        <f>(J44-J45)</f>
        <v>5.0138834909699455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North Kesteven</v>
      </c>
      <c r="G52" s="88"/>
      <c r="H52" s="89"/>
      <c r="I52" s="76">
        <f>VLOOKUP($F52,INACTIVITY!$A$6:$BW$345,6,FALSE)</f>
        <v>20.3</v>
      </c>
      <c r="J52" s="77">
        <f>VLOOKUP($F52,INACTIVITY!$A$6:$BW$345,10,FALSE)</f>
        <v>19.899999999999999</v>
      </c>
      <c r="K52" s="77">
        <f>VLOOKUP($F52,INACTIVITY!$A$6:$BW$345,14,FALSE)</f>
        <v>20.100000000000001</v>
      </c>
      <c r="L52" s="77">
        <f>VLOOKUP($F52,INACTIVITY!$A$6:$BW$345,18,FALSE)</f>
        <v>24.9</v>
      </c>
      <c r="M52" s="77">
        <f>VLOOKUP($F52,INACTIVITY!$A$6:$BW$345,22,FALSE)</f>
        <v>18.5</v>
      </c>
      <c r="N52" s="77">
        <f>VLOOKUP($F52,INACTIVITY!$A$6:$BW$345,26,FALSE)</f>
        <v>17.3</v>
      </c>
      <c r="O52" s="77">
        <f>VLOOKUP($F52,INACTIVITY!$A$6:$BW$345,30,FALSE)</f>
        <v>21.8</v>
      </c>
      <c r="P52" s="77">
        <f>VLOOKUP($F52,INACTIVITY!$A$6:$BW$345,34,FALSE)</f>
        <v>23</v>
      </c>
      <c r="Q52" s="77">
        <f>VLOOKUP($F52,INACTIVITY!$A$6:$BW$345,38,FALSE)</f>
        <v>24.6</v>
      </c>
      <c r="R52" s="77">
        <f>VLOOKUP($F52,INACTIVITY!$A$6:$BW$345,42,FALSE)</f>
        <v>17.8</v>
      </c>
      <c r="S52" s="77">
        <f>VLOOKUP($F52,INACTIVITY!$A$6:$BW$345,46,FALSE)</f>
        <v>20</v>
      </c>
      <c r="T52" s="77">
        <f>VLOOKUP($F52,INACTIVITY!$A$6:$BW$345,50,FALSE)</f>
        <v>17.7</v>
      </c>
      <c r="U52" s="77">
        <f>VLOOKUP($F52,INACTIVITY!$A$6:$BW$345,54,FALSE)</f>
        <v>25.3</v>
      </c>
      <c r="V52" s="77">
        <f>VLOOKUP($F52,INACTIVITY!$A$6:$BW$345,58,FALSE)</f>
        <v>15.1</v>
      </c>
      <c r="W52" s="77">
        <f>VLOOKUP($F52,INACTIVITY!$A$6:$BW$345,62,FALSE)</f>
        <v>13.5</v>
      </c>
      <c r="X52" s="77">
        <f>VLOOKUP($F52,INACTIVITY!$A$6:$BW$345,66,FALSE)</f>
        <v>17.899999999999999</v>
      </c>
      <c r="Y52" s="77">
        <f>VLOOKUP($F52,INACTIVITY!$A$6:$BW$345,70,FALSE)</f>
        <v>20.7</v>
      </c>
      <c r="Z52" s="77">
        <f>VLOOKUP($F52,INACTIVITY!$A$6:$BW$345,74,FALSE)</f>
        <v>16</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North Kesteven to Rural as a Region</v>
      </c>
      <c r="G55" s="122"/>
      <c r="H55" s="123"/>
      <c r="I55" s="74">
        <f>(I52-I53)</f>
        <v>-1.0956445716102365</v>
      </c>
      <c r="J55" s="74">
        <f t="shared" ref="J55:Z55" si="10">(J52-J53)</f>
        <v>-1.108522727272728</v>
      </c>
      <c r="K55" s="74">
        <f t="shared" si="10"/>
        <v>-0.76246539345877551</v>
      </c>
      <c r="L55" s="74">
        <f t="shared" si="10"/>
        <v>3.5859346684633593</v>
      </c>
      <c r="M55" s="74">
        <f t="shared" si="10"/>
        <v>-2.3350023108920048</v>
      </c>
      <c r="N55" s="74">
        <f t="shared" si="10"/>
        <v>-3.6331437579204398</v>
      </c>
      <c r="O55" s="74">
        <f t="shared" si="10"/>
        <v>0.10806287249482693</v>
      </c>
      <c r="P55" s="74">
        <f t="shared" si="10"/>
        <v>1.5057542192465512</v>
      </c>
      <c r="Q55" s="74">
        <f t="shared" si="10"/>
        <v>3.4174512055109076</v>
      </c>
      <c r="R55" s="74">
        <f t="shared" si="10"/>
        <v>-2.9745930974387704</v>
      </c>
      <c r="S55" s="74">
        <f t="shared" si="10"/>
        <v>-0.27321045597240001</v>
      </c>
      <c r="T55" s="74">
        <f t="shared" si="10"/>
        <v>-1.9961946834069586</v>
      </c>
      <c r="U55" s="74">
        <f t="shared" si="10"/>
        <v>5.4475706529305299</v>
      </c>
      <c r="V55" s="74">
        <f t="shared" si="10"/>
        <v>-4.1532773342803768</v>
      </c>
      <c r="W55" s="74">
        <f t="shared" si="10"/>
        <v>-5.6769560091828488</v>
      </c>
      <c r="X55" s="74">
        <f t="shared" si="10"/>
        <v>-0.95206494936493158</v>
      </c>
      <c r="Y55" s="74">
        <f t="shared" si="10"/>
        <v>0.92741727812853725</v>
      </c>
      <c r="Z55" s="74">
        <f t="shared" si="10"/>
        <v>-5.0851797756300705</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North Kesteven</v>
      </c>
      <c r="G60" s="88"/>
      <c r="H60" s="89"/>
      <c r="I60" s="76">
        <f>VLOOKUP($F60,DISABILITY!$A$718:$I$1052,DISABILITY!B$1053,FALSE)</f>
        <v>29.4</v>
      </c>
      <c r="J60" s="77">
        <f>VLOOKUP($F60,DISABILITY!$A$718:$I$1052,DISABILITY!C$1053,FALSE)</f>
        <v>36.5</v>
      </c>
      <c r="K60" s="77">
        <f>VLOOKUP($F60,DISABILITY!$A$718:$I$1052,DISABILITY!D$1053,FALSE)</f>
        <v>8.7000000000000028</v>
      </c>
      <c r="L60" s="77">
        <f>VLOOKUP($F60,DISABILITY!$A$718:$I$1052,DISABILITY!E$1053,FALSE)</f>
        <v>26.099999999999994</v>
      </c>
      <c r="M60" s="77">
        <f>VLOOKUP($F60,DISABILITY!$A$718:$I$1052,DISABILITY!F$1053,FALSE)</f>
        <v>19.299999999999997</v>
      </c>
      <c r="N60" s="77">
        <f>VLOOKUP($F60,DISABILITY!$A$718:$I$1052,DISABILITY!G$1053,FALSE)</f>
        <v>20.299999999999997</v>
      </c>
      <c r="O60" s="77">
        <f>VLOOKUP($F60,DISABILITY!$A$718:$I$1052,DISABILITY!H$1053,FALSE)</f>
        <v>20.500000000000007</v>
      </c>
      <c r="P60" s="77">
        <f>VLOOKUP($F60,DISABILITY!$A$718:$I$1052,DISABILITY!I$1053,FALSE)</f>
        <v>17.199999999999989</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North Kesteven to Rural as a Region</v>
      </c>
      <c r="G63" s="122"/>
      <c r="H63" s="123"/>
      <c r="I63" s="74">
        <f>(I60-I61)</f>
        <v>1.9798434593527503</v>
      </c>
      <c r="J63" s="74">
        <f t="shared" ref="J63:P63" si="12">(J60-J61)</f>
        <v>9.1809555929488127</v>
      </c>
      <c r="K63" s="74">
        <f t="shared" si="12"/>
        <v>-19.419128361498203</v>
      </c>
      <c r="L63" s="74">
        <f t="shared" si="12"/>
        <v>0.10906546100331838</v>
      </c>
      <c r="M63" s="74">
        <f t="shared" si="12"/>
        <v>-6.1752258186661209</v>
      </c>
      <c r="N63" s="74">
        <f t="shared" si="12"/>
        <v>-5.2312476854419856</v>
      </c>
      <c r="O63" s="74">
        <f t="shared" si="12"/>
        <v>-3.297222287996938</v>
      </c>
      <c r="P63" s="74">
        <f t="shared" si="12"/>
        <v>-8.1541779303421862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North Kesteven</v>
      </c>
      <c r="G68" s="88"/>
      <c r="H68" s="89"/>
      <c r="I68" s="76">
        <f>VLOOKUP($F68,'WORKLESS HOUSEHOLDS'!$DW$4:$EC$397,7,FALSE)</f>
        <v>13.224822459933955</v>
      </c>
      <c r="J68" s="77">
        <f>VLOOKUP($F68,'WORKLESS HOUSEHOLDS'!$DN$4:$DT$397,7,FALSE)</f>
        <v>5.7184299455722831</v>
      </c>
      <c r="K68" s="77">
        <f>VLOOKUP($F68,'WORKLESS HOUSEHOLDS'!$DE$4:$DK$397,7,FALSE)</f>
        <v>5.9718517023881788</v>
      </c>
      <c r="L68" s="77">
        <f>VLOOKUP($F68,'WORKLESS HOUSEHOLDS'!$CV$4:$DB$397,7,FALSE)</f>
        <v>6.707481638851907</v>
      </c>
      <c r="M68" s="77">
        <f>VLOOKUP($F68,'WORKLESS HOUSEHOLDS'!$CM$4:$CS$397,7,FALSE)</f>
        <v>4.1080366912394979</v>
      </c>
      <c r="N68" s="77">
        <f>VLOOKUP($F68,'WORKLESS HOUSEHOLDS'!$CD$4:$CJ$397,7,FALSE)</f>
        <v>8.1901297209324575</v>
      </c>
      <c r="O68" s="77">
        <f>VLOOKUP($F68,'WORKLESS HOUSEHOLDS'!$BU$4:$CA$397,7,FALSE)</f>
        <v>13.72939684839703</v>
      </c>
      <c r="P68" s="77">
        <f>VLOOKUP($F68,'WORKLESS HOUSEHOLDS'!$BL$4:$BR$397,7,FALSE)</f>
        <v>7.8028747433264893</v>
      </c>
      <c r="Q68" s="77" t="str">
        <f>VLOOKUP($F68,'WORKLESS HOUSEHOLDS'!$BC$4:$BI$397,7,FALSE)</f>
        <v>#</v>
      </c>
      <c r="R68" s="77">
        <f>VLOOKUP($F68,'WORKLESS HOUSEHOLDS'!$AT$4:$AZ$397,7,FALSE)</f>
        <v>14.097938144329897</v>
      </c>
      <c r="S68" s="77">
        <f>VLOOKUP($F68,'WORKLESS HOUSEHOLDS'!$AK$4:$AQ$397,7,FALSE)</f>
        <v>15.623338328418814</v>
      </c>
      <c r="T68" s="77">
        <f>VLOOKUP($F68,'WORKLESS HOUSEHOLDS'!$AB$4:$AH$397,7,FALSE)</f>
        <v>10.576274046574417</v>
      </c>
      <c r="U68" s="77">
        <f>VLOOKUP($F68,'WORKLESS HOUSEHOLDS'!$S$4:$Y$397,7,FALSE)</f>
        <v>8.245502453207342</v>
      </c>
      <c r="V68" s="77" t="str">
        <f>VLOOKUP($F68,'WORKLESS HOUSEHOLDS'!$J$4:$P$397,7,FALSE)</f>
        <v>#</v>
      </c>
      <c r="W68" s="77">
        <f>VLOOKUP($F68,'WORKLESS HOUSEHOLDS'!$B$4:$H$397,7,FALSE)</f>
        <v>4.7672824070339601</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North Kesteven to Rural as a Region</v>
      </c>
      <c r="G71" s="122"/>
      <c r="H71" s="123"/>
      <c r="I71" s="74">
        <f>(I68-I69)</f>
        <v>3.2128765973472646</v>
      </c>
      <c r="J71" s="74">
        <f t="shared" ref="J71:W71" si="14">(J68-J69)</f>
        <v>-5.1927248919027411</v>
      </c>
      <c r="K71" s="74">
        <f t="shared" si="14"/>
        <v>-4.3213940267676652</v>
      </c>
      <c r="L71" s="74">
        <f t="shared" si="14"/>
        <v>-4.2585250224778255</v>
      </c>
      <c r="M71" s="74">
        <f t="shared" si="14"/>
        <v>-7.5857424899489754</v>
      </c>
      <c r="N71" s="74">
        <f t="shared" si="14"/>
        <v>-3.7109699583229236</v>
      </c>
      <c r="O71" s="74">
        <f t="shared" si="14"/>
        <v>2.6941436006545185</v>
      </c>
      <c r="P71" s="74">
        <f t="shared" si="14"/>
        <v>-1.8886231424413484</v>
      </c>
      <c r="Q71" s="74" t="e">
        <f t="shared" si="14"/>
        <v>#VALUE!</v>
      </c>
      <c r="R71" s="74">
        <f t="shared" si="14"/>
        <v>3.3918418206003427</v>
      </c>
      <c r="S71" s="74">
        <f t="shared" si="14"/>
        <v>5.4705935002699331</v>
      </c>
      <c r="T71" s="74">
        <f t="shared" si="14"/>
        <v>0.67260585194166644</v>
      </c>
      <c r="U71" s="74">
        <f t="shared" si="14"/>
        <v>-2.5165477114721337</v>
      </c>
      <c r="V71" s="74" t="e">
        <f t="shared" si="14"/>
        <v>#VALUE!</v>
      </c>
      <c r="W71" s="74">
        <f t="shared" si="14"/>
        <v>-5.5854190161502331</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North Kesteven</v>
      </c>
      <c r="G76" s="88"/>
      <c r="H76" s="89"/>
      <c r="I76" s="76">
        <f>VLOOKUP($F76,'SKILLED EMPLOYMENT'!$A$1506:$BW$1841,6,FALSE)</f>
        <v>50.600000000000009</v>
      </c>
      <c r="J76" s="77">
        <f>VLOOKUP($F76,'SKILLED EMPLOYMENT'!$A$1506:$BW$1841,10,FALSE)</f>
        <v>46.899999999999991</v>
      </c>
      <c r="K76" s="77">
        <f>VLOOKUP($F76,'SKILLED EMPLOYMENT'!$A$1506:$BW$1841,14,FALSE)</f>
        <v>52.900000000000006</v>
      </c>
      <c r="L76" s="77">
        <f>VLOOKUP($F76,'SKILLED EMPLOYMENT'!$A$1506:$BW$1841,18,FALSE)</f>
        <v>56.5</v>
      </c>
      <c r="M76" s="77">
        <f>VLOOKUP($F76,'SKILLED EMPLOYMENT'!$A$1506:$BW$1841,22,FALSE)</f>
        <v>48.8</v>
      </c>
      <c r="N76" s="77">
        <f>VLOOKUP($F76,'SKILLED EMPLOYMENT'!$A$1506:$BW$1841,26,FALSE)</f>
        <v>59.1</v>
      </c>
      <c r="O76" s="77">
        <f>VLOOKUP($F76,'SKILLED EMPLOYMENT'!$A$1506:$BW$1841,30,FALSE)</f>
        <v>54.5</v>
      </c>
      <c r="P76" s="77">
        <f>VLOOKUP($F76,'SKILLED EMPLOYMENT'!$A$1506:$BW$1841,34,FALSE)</f>
        <v>56.3</v>
      </c>
      <c r="Q76" s="77">
        <f>VLOOKUP($F76,'SKILLED EMPLOYMENT'!$A$1506:$BW$1841,38,FALSE)</f>
        <v>57.600000000000009</v>
      </c>
      <c r="R76" s="77">
        <f>VLOOKUP($F76,'SKILLED EMPLOYMENT'!$A$1506:$BW$1841,42,FALSE)</f>
        <v>58.7</v>
      </c>
      <c r="S76" s="77">
        <f>VLOOKUP($F76,'SKILLED EMPLOYMENT'!$A$1506:$BW$1841,46,FALSE)</f>
        <v>55.9</v>
      </c>
      <c r="T76" s="77">
        <f>VLOOKUP($F76,'SKILLED EMPLOYMENT'!$A$1506:$BW$1841,50,FALSE)</f>
        <v>58.2</v>
      </c>
      <c r="U76" s="77">
        <f>VLOOKUP($F76,'SKILLED EMPLOYMENT'!$A$1506:$BW$1841,54,FALSE)</f>
        <v>54.7</v>
      </c>
      <c r="V76" s="77">
        <f>VLOOKUP($F76,'SKILLED EMPLOYMENT'!$A$1506:$BW$1841,58,FALSE)</f>
        <v>53.8</v>
      </c>
      <c r="W76" s="77">
        <f>VLOOKUP($F76,'SKILLED EMPLOYMENT'!$A$1506:$BW$1841,62,FALSE)</f>
        <v>59.099999999999994</v>
      </c>
      <c r="X76" s="77">
        <f>VLOOKUP($F76,'SKILLED EMPLOYMENT'!$A$1506:$BW$1841,66,FALSE)</f>
        <v>52.2</v>
      </c>
      <c r="Y76" s="77">
        <f>VLOOKUP($F76,'SKILLED EMPLOYMENT'!$A$1506:$BW$1841,70,FALSE)</f>
        <v>59.800000000000004</v>
      </c>
      <c r="Z76" s="77">
        <f>VLOOKUP($F76,'SKILLED EMPLOYMENT'!$A$1506:$BW$1841,74,FALSE)</f>
        <v>56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North Kesteven to Rural as a Region</v>
      </c>
      <c r="G79" s="122"/>
      <c r="H79" s="123"/>
      <c r="I79" s="74">
        <f>(I76-I77)</f>
        <v>-2.0999999999999943</v>
      </c>
      <c r="J79" s="74">
        <f t="shared" ref="J79:Z79" si="17">(J76-J77)</f>
        <v>-6.0000000000000071</v>
      </c>
      <c r="K79" s="74">
        <f t="shared" si="17"/>
        <v>-0.59999999999999432</v>
      </c>
      <c r="L79" s="74">
        <f t="shared" si="17"/>
        <v>2.5</v>
      </c>
      <c r="M79" s="74">
        <f t="shared" si="17"/>
        <v>-5.3000000000000043</v>
      </c>
      <c r="N79" s="74">
        <f t="shared" si="17"/>
        <v>4.7000000000000028</v>
      </c>
      <c r="O79" s="74">
        <f t="shared" si="17"/>
        <v>-0.89999999999999858</v>
      </c>
      <c r="P79" s="74">
        <f t="shared" si="17"/>
        <v>0.69999999999999574</v>
      </c>
      <c r="Q79" s="74">
        <f t="shared" si="17"/>
        <v>2.2000000000000099</v>
      </c>
      <c r="R79" s="74">
        <f t="shared" si="17"/>
        <v>2.5</v>
      </c>
      <c r="S79" s="74">
        <f t="shared" si="17"/>
        <v>-0.30000000000000426</v>
      </c>
      <c r="T79" s="74">
        <f t="shared" si="17"/>
        <v>1.4000000000000057</v>
      </c>
      <c r="U79" s="74">
        <f t="shared" si="17"/>
        <v>-1.8999999999999986</v>
      </c>
      <c r="V79" s="74">
        <f t="shared" si="17"/>
        <v>-3.3000000000000043</v>
      </c>
      <c r="W79" s="74">
        <f t="shared" si="17"/>
        <v>1.2999999999999972</v>
      </c>
      <c r="X79" s="74">
        <f t="shared" si="17"/>
        <v>-6.5999999999999943</v>
      </c>
      <c r="Y79" s="74">
        <f t="shared" si="17"/>
        <v>1.1000000000000014</v>
      </c>
      <c r="Z79" s="74">
        <f t="shared" si="17"/>
        <v>-2.3999999999999986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Sca32kMJxzqGFdMKQpzIUahnpYae+mbpSBaRjVIYLepEHCs2B3fhcQHbYF3REM3PpmZUgGckGVhlefr7QJuEYw==" saltValue="2K6TORSAz+oG7S7bUG8DX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2022-08-02T11:33:20Z</dcterms:modified>
</cp:coreProperties>
</file>