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6ED39222-D27C-4918-992D-4FE1107D2510}" xr6:coauthVersionLast="47" xr6:coauthVersionMax="47" xr10:uidLastSave="{D68727AA-CF65-4B2E-BE4C-891FB588AD9D}"/>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l="1"/>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<sst xmlns="http://schemas.openxmlformats.org/spreadsheetml/2006/main" count="32859" uniqueCount="1676">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</sst>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North Lincolnshire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25.74</c:v>
                </c:pt>
                <c:pt idx="1">
                  <c:v>25.73</c:v>
                </c:pt>
                <c:pt idx="2">
                  <c:v>27.17</c:v>
                </c:pt>
                <c:pt idx="3">
                  <c:v>28.49</c:v>
                </c:pt>
                <c:pt idx="4">
                  <c:v>29.86</c:v>
                </c:pt>
                <c:pt idx="5">
                  <c:v>29.99</c:v>
                </c:pt>
                <c:pt idx="6">
                  <c:v>29.57</c:v>
                </c:pt>
                <c:pt idx="7">
                  <c:v>28.73</c:v>
                </c:pt>
                <c:pt idx="8">
                  <c:v>28.69</c:v>
                </c:pt>
                <c:pt idx="9">
                  <c:v>29.48</c:v>
                </c:pt>
                <c:pt idx="10">
                  <c:v>30.72</c:v>
                </c:pt>
                <c:pt idx="11">
                  <c:v>32.32</c:v>
                </c:pt>
                <c:pt idx="12">
                  <c:v>33.28</c:v>
                </c:pt>
                <c:pt idx="13">
                  <c:v>33.81</c:v>
                </c:pt>
                <c:pt idx="14">
                  <c:v>33.56</c:v>
                </c:pt>
                <c:pt idx="15">
                  <c:v>33.33</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North Lincolnshire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478.8</c:v>
                </c:pt>
                <c:pt idx="1">
                  <c:v>465.2</c:v>
                </c:pt>
                <c:pt idx="2">
                  <c:v>478.5</c:v>
                </c:pt>
                <c:pt idx="3">
                  <c:v>493.5</c:v>
                </c:pt>
                <c:pt idx="4">
                  <c:v>502.4</c:v>
                </c:pt>
                <c:pt idx="5">
                  <c:v>518.20000000000005</c:v>
                </c:pt>
                <c:pt idx="6">
                  <c:v>536.29999999999995</c:v>
                </c:pt>
                <c:pt idx="7">
                  <c:v>529.9</c:v>
                </c:pt>
                <c:pt idx="8">
                  <c:v>519.29999999999995</c:v>
                </c:pt>
                <c:pt idx="9">
                  <c:v>532.6</c:v>
                </c:pt>
                <c:pt idx="10">
                  <c:v>542</c:v>
                </c:pt>
                <c:pt idx="11">
                  <c:v>584.5</c:v>
                </c:pt>
                <c:pt idx="12">
                  <c:v>574.9</c:v>
                </c:pt>
                <c:pt idx="13">
                  <c:v>589.6</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North Lincolnshire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73.400000000000006</c:v>
                </c:pt>
                <c:pt idx="1">
                  <c:v>73.900000000000006</c:v>
                </c:pt>
                <c:pt idx="2">
                  <c:v>74.5</c:v>
                </c:pt>
                <c:pt idx="3">
                  <c:v>74</c:v>
                </c:pt>
                <c:pt idx="4">
                  <c:v>73.099999999999994</c:v>
                </c:pt>
                <c:pt idx="5">
                  <c:v>70.599999999999994</c:v>
                </c:pt>
                <c:pt idx="6">
                  <c:v>71.3</c:v>
                </c:pt>
                <c:pt idx="7">
                  <c:v>72.7</c:v>
                </c:pt>
                <c:pt idx="8">
                  <c:v>71.900000000000006</c:v>
                </c:pt>
                <c:pt idx="9">
                  <c:v>74.2</c:v>
                </c:pt>
                <c:pt idx="10">
                  <c:v>73.900000000000006</c:v>
                </c:pt>
                <c:pt idx="11">
                  <c:v>71.7</c:v>
                </c:pt>
                <c:pt idx="12">
                  <c:v>72.599999999999994</c:v>
                </c:pt>
                <c:pt idx="13">
                  <c:v>74.900000000000006</c:v>
                </c:pt>
                <c:pt idx="14">
                  <c:v>70.599999999999994</c:v>
                </c:pt>
                <c:pt idx="15">
                  <c:v>72.3</c:v>
                </c:pt>
                <c:pt idx="16">
                  <c:v>73.099999999999994</c:v>
                </c:pt>
                <c:pt idx="17">
                  <c:v>72.3</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North Lincolnshire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12353</c:v>
                </c:pt>
                <c:pt idx="1">
                  <c:v>12593</c:v>
                </c:pt>
                <c:pt idx="2">
                  <c:v>12899</c:v>
                </c:pt>
                <c:pt idx="3">
                  <c:v>13579</c:v>
                </c:pt>
                <c:pt idx="4">
                  <c:v>13570</c:v>
                </c:pt>
                <c:pt idx="5">
                  <c:v>13545</c:v>
                </c:pt>
                <c:pt idx="6">
                  <c:v>13624</c:v>
                </c:pt>
                <c:pt idx="7">
                  <c:v>14178</c:v>
                </c:pt>
                <c:pt idx="8">
                  <c:v>14544</c:v>
                </c:pt>
                <c:pt idx="9">
                  <c:v>14701</c:v>
                </c:pt>
                <c:pt idx="10">
                  <c:v>14955</c:v>
                </c:pt>
                <c:pt idx="11">
                  <c:v>15516</c:v>
                </c:pt>
                <c:pt idx="12">
                  <c:v>15700</c:v>
                </c:pt>
                <c:pt idx="13">
                  <c:v>16219</c:v>
                </c:pt>
                <c:pt idx="14">
                  <c:v>16804</c:v>
                </c:pt>
                <c:pt idx="15">
                  <c:v>17218</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North Lincolnshire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30.3</c:v>
                </c:pt>
                <c:pt idx="1">
                  <c:v>28.3</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North Lincolnshire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23.5</c:v>
                </c:pt>
                <c:pt idx="1">
                  <c:v>22.7</c:v>
                </c:pt>
                <c:pt idx="2">
                  <c:v>21.1</c:v>
                </c:pt>
                <c:pt idx="3">
                  <c:v>21.8</c:v>
                </c:pt>
                <c:pt idx="4">
                  <c:v>22.2</c:v>
                </c:pt>
                <c:pt idx="5">
                  <c:v>22.5</c:v>
                </c:pt>
                <c:pt idx="6">
                  <c:v>23.2</c:v>
                </c:pt>
                <c:pt idx="7">
                  <c:v>22.5</c:v>
                </c:pt>
                <c:pt idx="8">
                  <c:v>21.9</c:v>
                </c:pt>
                <c:pt idx="9">
                  <c:v>20.9</c:v>
                </c:pt>
                <c:pt idx="10">
                  <c:v>22</c:v>
                </c:pt>
                <c:pt idx="11">
                  <c:v>25.2</c:v>
                </c:pt>
                <c:pt idx="12">
                  <c:v>22.8</c:v>
                </c:pt>
                <c:pt idx="13">
                  <c:v>20.7</c:v>
                </c:pt>
                <c:pt idx="14">
                  <c:v>24.2</c:v>
                </c:pt>
                <c:pt idx="15">
                  <c:v>24.2</c:v>
                </c:pt>
                <c:pt idx="16">
                  <c:v>22.1</c:v>
                </c:pt>
                <c:pt idx="17">
                  <c:v>26.3</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North Lincolnshire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32.400000000000006</c:v>
                </c:pt>
                <c:pt idx="1">
                  <c:v>36.200000000000003</c:v>
                </c:pt>
                <c:pt idx="2">
                  <c:v>31.599999999999994</c:v>
                </c:pt>
                <c:pt idx="3">
                  <c:v>28.4</c:v>
                </c:pt>
                <c:pt idx="4">
                  <c:v>35.400000000000006</c:v>
                </c:pt>
                <c:pt idx="5">
                  <c:v>42.500000000000007</c:v>
                </c:pt>
                <c:pt idx="6">
                  <c:v>34.700000000000003</c:v>
                </c:pt>
                <c:pt idx="7">
                  <c:v>25.700000000000003</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North Lincolnshire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15.208315116291605</c:v>
                </c:pt>
                <c:pt idx="1">
                  <c:v>14.786992828252135</c:v>
                </c:pt>
                <c:pt idx="2">
                  <c:v>15.602360959512865</c:v>
                </c:pt>
                <c:pt idx="3">
                  <c:v>16.155533194928417</c:v>
                </c:pt>
                <c:pt idx="4">
                  <c:v>16.305381544299539</c:v>
                </c:pt>
                <c:pt idx="5">
                  <c:v>20.657493439251009</c:v>
                </c:pt>
                <c:pt idx="6">
                  <c:v>22.814038430998888</c:v>
                </c:pt>
                <c:pt idx="7">
                  <c:v>13.244216281085405</c:v>
                </c:pt>
                <c:pt idx="8">
                  <c:v>15.043536934100182</c:v>
                </c:pt>
                <c:pt idx="9">
                  <c:v>14.108785614338027</c:v>
                </c:pt>
                <c:pt idx="10">
                  <c:v>16.681776971894831</c:v>
                </c:pt>
                <c:pt idx="11">
                  <c:v>11.812035158891144</c:v>
                </c:pt>
                <c:pt idx="12">
                  <c:v>14.147348929957626</c:v>
                </c:pt>
                <c:pt idx="13">
                  <c:v>11.124047019942164</c:v>
                </c:pt>
                <c:pt idx="14">
                  <c:v>11.823319938580157</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North Lincolnshire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42.699999999999996</c:v>
                </c:pt>
                <c:pt idx="1">
                  <c:v>43.400000000000006</c:v>
                </c:pt>
                <c:pt idx="2">
                  <c:v>44</c:v>
                </c:pt>
                <c:pt idx="3">
                  <c:v>43.599999999999994</c:v>
                </c:pt>
                <c:pt idx="4">
                  <c:v>45.6</c:v>
                </c:pt>
                <c:pt idx="5">
                  <c:v>46.100000000000009</c:v>
                </c:pt>
                <c:pt idx="6">
                  <c:v>45.3</c:v>
                </c:pt>
                <c:pt idx="7">
                  <c:v>44.9</c:v>
                </c:pt>
                <c:pt idx="8">
                  <c:v>49</c:v>
                </c:pt>
                <c:pt idx="9">
                  <c:v>45.3</c:v>
                </c:pt>
                <c:pt idx="10">
                  <c:v>44.7</c:v>
                </c:pt>
                <c:pt idx="11">
                  <c:v>47.3</c:v>
                </c:pt>
                <c:pt idx="12">
                  <c:v>51.1</c:v>
                </c:pt>
                <c:pt idx="13">
                  <c:v>49.2</c:v>
                </c:pt>
                <c:pt idx="14">
                  <c:v>46.399999999999991</c:v>
                </c:pt>
                <c:pt idx="15">
                  <c:v>50.599999999999994</c:v>
                </c:pt>
                <c:pt idx="16">
                  <c:v>51.5</c:v>
                </c:pt>
                <c:pt idx="17">
                  <c:v>51.3</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30</xdr:row>
      <xdr:rowOff>121920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8839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North Lincolnshire has fluctuated over the years but from 2018 to 2021 was below the England situation, and has been below the rural situation from 2004 to 2021.</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North Lincolnshire, it is below and dropping further behind that seen in England and 'Rural as a Region'.</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Despite the proportion dropping between 2017 and 2018 for North Lincolnshire, it's proportion remained above that seen for rural on average.</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North Lincolnshire's economic inactivity rate has consistently been above the rural situation from 2004 to 2021 and has on the whole moved above the England situation from 2015 to 2021.</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North Lincolnshire is consistently greater than the gap seen for England or 'Rural as a Region', albeit with some year on year variability.</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North Lincolnshire has seen its proportion of children in workless households sit in line with England overall between 2006 and 2010, but from 2011 to 2020 the proportion increases beyond the England level in general.</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North Lincolnshire in general has a lower proportion of employed people in skilled employment than seen for 'Rural as a Region' or England, but increases from 2004 to 2021 at a greater rate overall, thus reducing the gap.</a:t>
          </a:r>
          <a:endParaRPr lang="en-GB" sz="1100">
            <a:latin typeface="Avenir Next LT Pro" panose="020B0504020202020204" pitchFamily="34" charset="0"/>
          </a:endParaRPr>
        </a:p>
      </xdr:txBody>
    </xdr:sp>
    <xdr:clientData/>
  </xdr:twoCellAnchor>
  <xdr:twoCellAnchor>
    <xdr:from>
      <xdr:col>0</xdr:col>
      <xdr:colOff>601980</xdr:colOff>
      <xdr:row>20</xdr:row>
      <xdr:rowOff>586740</xdr:rowOff>
    </xdr:from>
    <xdr:to>
      <xdr:col>1</xdr:col>
      <xdr:colOff>2583180</xdr:colOff>
      <xdr:row>22</xdr:row>
      <xdr:rowOff>114300</xdr:rowOff>
    </xdr:to>
    <xdr:sp macro="" textlink="">
      <xdr:nvSpPr>
        <xdr:cNvPr id="20" name="TextBox 19">
          <a:extLst>
            <a:ext uri="{FF2B5EF4-FFF2-40B4-BE49-F238E27FC236}">
              <a16:creationId xmlns:a16="http://schemas.microsoft.com/office/drawing/2014/main" id="{93FB0194-18F6-40D3-864C-27E447C47187}"/>
            </a:ext>
          </a:extLst>
        </xdr:cNvPr>
        <xdr:cNvSpPr txBox="1"/>
      </xdr:nvSpPr>
      <xdr:spPr>
        <a:xfrm>
          <a:off x="601980" y="751332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North Lincolnshire has fluctuated a little over the years, but is generally just below the situation for England overall.</a:t>
          </a:r>
          <a:endParaRPr lang="en-GB" sz="1100">
            <a:latin typeface="Avenir Next LT Pro" panose="020B0504020202020204" pitchFamily="34" charset="0"/>
          </a:endParaRPr>
        </a:p>
      </xdr:txBody>
    </xdr:sp>
    <xdr:clientData/>
  </xdr:twoCellAnchor>
  <xdr:twoCellAnchor>
    <xdr:from>
      <xdr:col>0</xdr:col>
      <xdr:colOff>571500</xdr:colOff>
      <xdr:row>12</xdr:row>
      <xdr:rowOff>502920</xdr:rowOff>
    </xdr:from>
    <xdr:to>
      <xdr:col>1</xdr:col>
      <xdr:colOff>2552700</xdr:colOff>
      <xdr:row>14</xdr:row>
      <xdr:rowOff>358140</xdr:rowOff>
    </xdr:to>
    <xdr:sp macro="" textlink="">
      <xdr:nvSpPr>
        <xdr:cNvPr id="21" name="TextBox 20">
          <a:extLst>
            <a:ext uri="{FF2B5EF4-FFF2-40B4-BE49-F238E27FC236}">
              <a16:creationId xmlns:a16="http://schemas.microsoft.com/office/drawing/2014/main" id="{46BEC766-12F9-4CDC-85AD-99AE4D3B73D5}"/>
            </a:ext>
          </a:extLst>
        </xdr:cNvPr>
        <xdr:cNvSpPr txBox="1"/>
      </xdr:nvSpPr>
      <xdr:spPr>
        <a:xfrm>
          <a:off x="571500" y="3489960"/>
          <a:ext cx="6682740" cy="11506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North Lincolnshire in 2004 is marginally greater than the England position, however the increase to its 2019 level is less than that seen for England.  From 2004 to 2019 it remains above 'Rural as a Region' due to its overall rate of increase being relatively similar to the rural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102</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North Lincolnshire</v>
      </c>
      <c r="G12" s="88" t="str">
        <f>IFERROR(VLOOKUP(F12,GVA!B244:B552,1,FALSE),VLOOKUP(F12,GVA!B6:C230,2,FALSE))</f>
        <v>North Lincolnshire</v>
      </c>
      <c r="H12" s="89" t="str">
        <f>IF(F12=G12,"",G12)</f>
        <v/>
      </c>
      <c r="I12" s="76">
        <f>IFERROR(VLOOKUP($F12,GVA!$B$7:$S$230,GVA!D$3,FALSE),VLOOKUP($F12,GVA!$B$244:$T$554,GVA!E$3,FALSE))</f>
        <v>25.74</v>
      </c>
      <c r="J12" s="77">
        <f>IFERROR(VLOOKUP($F12,GVA!$B$7:$S$230,GVA!E$3,FALSE),VLOOKUP($F12,GVA!$B$244:$T$554,GVA!F$3,FALSE))</f>
        <v>25.73</v>
      </c>
      <c r="K12" s="77">
        <f>IFERROR(VLOOKUP($F12,GVA!$B$7:$S$230,GVA!F$3,FALSE),VLOOKUP($F12,GVA!$B$244:$T$554,GVA!G$3,FALSE))</f>
        <v>27.17</v>
      </c>
      <c r="L12" s="77">
        <f>IFERROR(VLOOKUP($F12,GVA!$B$7:$S$230,GVA!G$3,FALSE),VLOOKUP($F12,GVA!$B$244:$T$554,GVA!H$3,FALSE))</f>
        <v>28.49</v>
      </c>
      <c r="M12" s="77">
        <f>IFERROR(VLOOKUP($F12,GVA!$B$7:$S$230,GVA!H$3,FALSE),VLOOKUP($F12,GVA!$B$244:$T$554,GVA!I$3,FALSE))</f>
        <v>29.86</v>
      </c>
      <c r="N12" s="77">
        <f>IFERROR(VLOOKUP($F12,GVA!$B$7:$S$230,GVA!I$3,FALSE),VLOOKUP($F12,GVA!$B$244:$T$554,GVA!J$3,FALSE))</f>
        <v>29.99</v>
      </c>
      <c r="O12" s="77">
        <f>IFERROR(VLOOKUP($F12,GVA!$B$7:$S$230,GVA!J$3,FALSE),VLOOKUP($F12,GVA!$B$244:$T$554,GVA!K$3,FALSE))</f>
        <v>29.57</v>
      </c>
      <c r="P12" s="77">
        <f>IFERROR(VLOOKUP($F12,GVA!$B$7:$S$230,GVA!K$3,FALSE),VLOOKUP($F12,GVA!$B$244:$T$554,GVA!L$3,FALSE))</f>
        <v>28.73</v>
      </c>
      <c r="Q12" s="77">
        <f>IFERROR(VLOOKUP($F12,GVA!$B$7:$S$230,GVA!L$3,FALSE),VLOOKUP($F12,GVA!$B$244:$T$554,GVA!M$3,FALSE))</f>
        <v>28.69</v>
      </c>
      <c r="R12" s="77">
        <f>IFERROR(VLOOKUP($F12,GVA!$B$7:$S$230,GVA!M$3,FALSE),VLOOKUP($F12,GVA!$B$244:$T$554,GVA!N$3,FALSE))</f>
        <v>29.48</v>
      </c>
      <c r="S12" s="77">
        <f>IFERROR(VLOOKUP($F12,GVA!$B$7:$S$230,GVA!N$3,FALSE),VLOOKUP($F12,GVA!$B$244:$T$554,GVA!O$3,FALSE))</f>
        <v>30.72</v>
      </c>
      <c r="T12" s="77">
        <f>IFERROR(VLOOKUP($F12,GVA!$B$7:$S$230,GVA!O$3,FALSE),VLOOKUP($F12,GVA!$B$244:$T$554,GVA!P$3,FALSE))</f>
        <v>32.32</v>
      </c>
      <c r="U12" s="77">
        <f>IFERROR(VLOOKUP($F12,GVA!$B$7:$S$230,GVA!P$3,FALSE),VLOOKUP($F12,GVA!$B$244:$T$554,GVA!Q$3,FALSE))</f>
        <v>33.28</v>
      </c>
      <c r="V12" s="77">
        <f>IFERROR(VLOOKUP($F12,GVA!$B$7:$S$230,GVA!Q$3,FALSE),VLOOKUP($F12,GVA!$B$244:$T$554,GVA!R$3,FALSE))</f>
        <v>33.81</v>
      </c>
      <c r="W12" s="77">
        <f>IFERROR(VLOOKUP($F12,GVA!$B$7:$S$230,GVA!R$3,FALSE),VLOOKUP($F12,GVA!$B$244:$T$554,GVA!S$3,FALSE))</f>
        <v>33.56</v>
      </c>
      <c r="X12" s="77">
        <f>IFERROR(VLOOKUP($F12,GVA!$B$7:$S$230,GVA!S$3,FALSE),VLOOKUP($F12,GVA!$B$244:$T$554,GVA!T$3,FALSE))</f>
        <v>33.33</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North Lincolnshire to Rural as a Region</v>
      </c>
      <c r="G15" s="122"/>
      <c r="H15" s="123"/>
      <c r="I15" s="74">
        <f>100*((I12-I13)/I13)</f>
        <v>9.3452414065147593</v>
      </c>
      <c r="J15" s="74">
        <f t="shared" ref="J15:X15" si="0">100*((J12-J13)/J13)</f>
        <v>9.607075481266607</v>
      </c>
      <c r="K15" s="74">
        <f t="shared" si="0"/>
        <v>11.792626118646252</v>
      </c>
      <c r="L15" s="74">
        <f t="shared" si="0"/>
        <v>14.700638408005947</v>
      </c>
      <c r="M15" s="74">
        <f t="shared" si="0"/>
        <v>18.188886218741622</v>
      </c>
      <c r="N15" s="74">
        <f t="shared" si="0"/>
        <v>17.733711577737161</v>
      </c>
      <c r="O15" s="74">
        <f t="shared" si="0"/>
        <v>14.656314479982679</v>
      </c>
      <c r="P15" s="74">
        <f t="shared" si="0"/>
        <v>9.7627201899330238</v>
      </c>
      <c r="Q15" s="74">
        <f t="shared" si="0"/>
        <v>7.4100815617061029</v>
      </c>
      <c r="R15" s="74">
        <f t="shared" si="0"/>
        <v>8.4863380078068094</v>
      </c>
      <c r="S15" s="74">
        <f t="shared" si="0"/>
        <v>11.205057596090406</v>
      </c>
      <c r="T15" s="74">
        <f t="shared" si="0"/>
        <v>14.821268461030959</v>
      </c>
      <c r="U15" s="74">
        <f t="shared" si="0"/>
        <v>15.407193959484985</v>
      </c>
      <c r="V15" s="74">
        <f t="shared" si="0"/>
        <v>14.142636095090749</v>
      </c>
      <c r="W15" s="74">
        <f t="shared" si="0"/>
        <v>10.999373939339135</v>
      </c>
      <c r="X15" s="74">
        <f t="shared" si="0"/>
        <v>9.0951599767759692</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North Lincolnshire</v>
      </c>
      <c r="G20" s="88"/>
      <c r="H20" s="89"/>
      <c r="I20" s="80">
        <f>IF(VLOOKUP($F20,PAY!$A$11:$AE$349,4,FALSE)="-",#N/A,VLOOKUP($F20,PAY!$A$11:$AE$349,4,FALSE))</f>
        <v>478.8</v>
      </c>
      <c r="J20" s="80">
        <f>IF(VLOOKUP($F20,PAY!$A$11:$AE$349,6,FALSE)="-",#N/A,VLOOKUP($F20,PAY!$A$11:$AE$349,6,FALSE))</f>
        <v>465.2</v>
      </c>
      <c r="K20" s="80">
        <f>IF(VLOOKUP($F20,PAY!$A$11:$AE$349,8,FALSE)="-",#N/A,VLOOKUP($F20,PAY!$A$11:$AE$349,8,FALSE))</f>
        <v>478.5</v>
      </c>
      <c r="L20" s="80">
        <f>IF(VLOOKUP($F20,PAY!$A$11:$AE$349,10,FALSE)="-",#N/A,VLOOKUP($F20,PAY!$A$11:$AE$349,10,FALSE))</f>
        <v>493.5</v>
      </c>
      <c r="M20" s="80">
        <f>IF(VLOOKUP($F20,PAY!$A$11:$AE$349,12,FALSE)="-",#N/A,VLOOKUP($F20,PAY!$A$11:$AE$349,12,FALSE))</f>
        <v>502.4</v>
      </c>
      <c r="N20" s="80">
        <f>IF(VLOOKUP($F20,PAY!$A$11:$AE$349,14,FALSE)="-",#N/A,VLOOKUP($F20,PAY!$A$11:$AE$349,14,FALSE))</f>
        <v>518.20000000000005</v>
      </c>
      <c r="O20" s="80">
        <f>IF(VLOOKUP($F20,PAY!$A$11:$AE$349,16,FALSE)="-",#N/A,VLOOKUP($F20,PAY!$A$11:$AE$349,16,FALSE))</f>
        <v>536.29999999999995</v>
      </c>
      <c r="P20" s="80">
        <f>IF(VLOOKUP($F20,PAY!$A$11:$AE$349,18,FALSE)="-",#N/A,VLOOKUP($F20,PAY!$A$11:$AE$349,18,FALSE))</f>
        <v>529.9</v>
      </c>
      <c r="Q20" s="80">
        <f>IF(VLOOKUP($F20,PAY!$A$11:$AE$349,20,FALSE)="-",#N/A,VLOOKUP($F20,PAY!$A$11:$AE$349,20,FALSE))</f>
        <v>519.29999999999995</v>
      </c>
      <c r="R20" s="80">
        <f>IF(VLOOKUP($F20,PAY!$A$11:$AE$349,22,FALSE)="-",#N/A,VLOOKUP($F20,PAY!$A$11:$AE$349,22,FALSE))</f>
        <v>532.6</v>
      </c>
      <c r="S20" s="80">
        <f>IF(VLOOKUP($F20,PAY!$A$11:$AE$349,24,FALSE)="-",#N/A,VLOOKUP($F20,PAY!$A$11:$AE$349,24,FALSE))</f>
        <v>542</v>
      </c>
      <c r="T20" s="80">
        <f>IF(VLOOKUP($F20,PAY!$A$11:$AE$349,26,FALSE)="-",#N/A,VLOOKUP($F20,PAY!$A$11:$AE$349,26,FALSE))</f>
        <v>584.5</v>
      </c>
      <c r="U20" s="80">
        <f>IF(VLOOKUP($F20,PAY!$A$11:$AE$349,28,FALSE)="-",#N/A,VLOOKUP($F20,PAY!$A$11:$AE$349,28,FALSE))</f>
        <v>574.9</v>
      </c>
      <c r="V20" s="80">
        <f>IF(VLOOKUP($F20,PAY!$A$11:$AE$349,30,FALSE)="-",#N/A,VLOOKUP($F20,PAY!$A$11:$AE$349,30,FALSE))</f>
        <v>589.6</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North Lincolnshire to Rural as a Region</v>
      </c>
      <c r="G23" s="122"/>
      <c r="H23" s="123"/>
      <c r="I23" s="74">
        <f>100*((I20-I21)/I21)</f>
        <v>10.579306796388984</v>
      </c>
      <c r="J23" s="74">
        <f t="shared" ref="J23:V23" si="2">100*((J20-J21)/J21)</f>
        <v>6.4713623619614307</v>
      </c>
      <c r="K23" s="74">
        <f t="shared" si="2"/>
        <v>6.7811835292322806</v>
      </c>
      <c r="L23" s="74">
        <f t="shared" si="2"/>
        <v>9.5077187542133146</v>
      </c>
      <c r="M23" s="74">
        <f t="shared" si="2"/>
        <v>10.358634419784099</v>
      </c>
      <c r="N23" s="74">
        <f t="shared" si="2"/>
        <v>11.880646942110827</v>
      </c>
      <c r="O23" s="74">
        <f t="shared" si="2"/>
        <v>13.911876838363787</v>
      </c>
      <c r="P23" s="74">
        <f t="shared" si="2"/>
        <v>11.599828316569308</v>
      </c>
      <c r="Q23" s="74">
        <f t="shared" si="2"/>
        <v>6.0916856094400744</v>
      </c>
      <c r="R23" s="74">
        <f t="shared" si="2"/>
        <v>5.6626611920995851</v>
      </c>
      <c r="S23" s="74">
        <f t="shared" si="2"/>
        <v>5.3602289079224139</v>
      </c>
      <c r="T23" s="74">
        <f t="shared" si="2"/>
        <v>9.5187003548907434</v>
      </c>
      <c r="U23" s="74">
        <f t="shared" si="2"/>
        <v>8.2575946638836957</v>
      </c>
      <c r="V23" s="74">
        <f t="shared" si="2"/>
        <v>4.491908500611717</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North Lincolnshire</v>
      </c>
      <c r="G28" s="88"/>
      <c r="H28" s="89"/>
      <c r="I28" s="76">
        <f>VLOOKUP($F28,EMPLOYMENT!$A$6:$BW$345,6,FALSE)</f>
        <v>73.400000000000006</v>
      </c>
      <c r="J28" s="77">
        <f>VLOOKUP($F28,EMPLOYMENT!$A$6:$BW$345,10,FALSE)</f>
        <v>73.900000000000006</v>
      </c>
      <c r="K28" s="77">
        <f>VLOOKUP($F28,EMPLOYMENT!$A$6:$BW$345,14,FALSE)</f>
        <v>74.5</v>
      </c>
      <c r="L28" s="77">
        <f>VLOOKUP($F28,EMPLOYMENT!$A$6:$BW$345,18,FALSE)</f>
        <v>74</v>
      </c>
      <c r="M28" s="77">
        <f>VLOOKUP($F28,EMPLOYMENT!$A$6:$BW$345,22,FALSE)</f>
        <v>73.099999999999994</v>
      </c>
      <c r="N28" s="77">
        <f>VLOOKUP($F28,EMPLOYMENT!$A$6:$BW$345,26,FALSE)</f>
        <v>70.599999999999994</v>
      </c>
      <c r="O28" s="77">
        <f>VLOOKUP($F28,EMPLOYMENT!$A$6:$BW$345,30,FALSE)</f>
        <v>71.3</v>
      </c>
      <c r="P28" s="77">
        <f>VLOOKUP($F28,EMPLOYMENT!$A$6:$BW$345,34,FALSE)</f>
        <v>72.7</v>
      </c>
      <c r="Q28" s="77">
        <f>VLOOKUP($F28,EMPLOYMENT!$A$6:$BW$345,38,FALSE)</f>
        <v>71.900000000000006</v>
      </c>
      <c r="R28" s="77">
        <f>VLOOKUP($F28,EMPLOYMENT!$A$6:$BW$345,42,FALSE)</f>
        <v>74.2</v>
      </c>
      <c r="S28" s="77">
        <f>VLOOKUP($F28,EMPLOYMENT!$A$6:$BW$345,46,FALSE)</f>
        <v>73.900000000000006</v>
      </c>
      <c r="T28" s="77">
        <f>VLOOKUP($F28,EMPLOYMENT!$A$6:$BW$345,50,FALSE)</f>
        <v>71.7</v>
      </c>
      <c r="U28" s="77">
        <f>VLOOKUP($F28,EMPLOYMENT!$A$6:$BW$345,54,FALSE)</f>
        <v>72.599999999999994</v>
      </c>
      <c r="V28" s="77">
        <f>VLOOKUP($F28,EMPLOYMENT!$A$6:$BW$345,58,FALSE)</f>
        <v>74.900000000000006</v>
      </c>
      <c r="W28" s="77">
        <f>VLOOKUP($F28,EMPLOYMENT!$A$6:$BW$345,62,FALSE)</f>
        <v>70.599999999999994</v>
      </c>
      <c r="X28" s="77">
        <f>VLOOKUP($F28,EMPLOYMENT!$A$6:$BW$345,66,FALSE)</f>
        <v>72.3</v>
      </c>
      <c r="Y28" s="77">
        <f>VLOOKUP($F28,EMPLOYMENT!$A$6:$BW$345,70,FALSE)</f>
        <v>73.099999999999994</v>
      </c>
      <c r="Z28" s="77">
        <f>VLOOKUP($F28,EMPLOYMENT!$A$6:$BW$345,74,FALSE)</f>
        <v>72.3</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North Lincolnshire to Rural as a Region</v>
      </c>
      <c r="G31" s="122"/>
      <c r="H31" s="123"/>
      <c r="I31" s="74">
        <f>(I28-I29)</f>
        <v>-2.7113419194017325</v>
      </c>
      <c r="J31" s="74">
        <f t="shared" ref="J31:Z31" si="4">(J28-J29)</f>
        <v>-2.4129754666829513</v>
      </c>
      <c r="K31" s="74">
        <f t="shared" si="4"/>
        <v>-1.3731888994867631</v>
      </c>
      <c r="L31" s="74">
        <f t="shared" si="4"/>
        <v>-1.6404683026278377</v>
      </c>
      <c r="M31" s="74">
        <f t="shared" si="4"/>
        <v>-2.6355243733317479</v>
      </c>
      <c r="N31" s="74">
        <f t="shared" si="4"/>
        <v>-3.9095398428731869</v>
      </c>
      <c r="O31" s="74">
        <f t="shared" si="4"/>
        <v>-2.2471331389698719</v>
      </c>
      <c r="P31" s="74">
        <f t="shared" si="4"/>
        <v>-1.0342954032776106</v>
      </c>
      <c r="Q31" s="74">
        <f t="shared" si="4"/>
        <v>-2.1331574754625677</v>
      </c>
      <c r="R31" s="74">
        <f t="shared" si="4"/>
        <v>-0.54447492990020407</v>
      </c>
      <c r="S31" s="74">
        <f t="shared" si="4"/>
        <v>-2.2088603400756028</v>
      </c>
      <c r="T31" s="74">
        <f t="shared" si="4"/>
        <v>-5.4905319756090165</v>
      </c>
      <c r="U31" s="74">
        <f t="shared" si="4"/>
        <v>-4.3716324817080476</v>
      </c>
      <c r="V31" s="74">
        <f t="shared" si="4"/>
        <v>-3.132786885245892</v>
      </c>
      <c r="W31" s="74">
        <f t="shared" si="4"/>
        <v>-7.4481568934141507</v>
      </c>
      <c r="X31" s="74">
        <f t="shared" si="4"/>
        <v>-6.2912993789567082</v>
      </c>
      <c r="Y31" s="74">
        <f t="shared" si="4"/>
        <v>-3.9143462961292101</v>
      </c>
      <c r="Z31" s="74">
        <f t="shared" si="4"/>
        <v>-3.8557580778790452</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North Lincolnshire</v>
      </c>
      <c r="G36" s="88" t="str">
        <f>IFERROR(VLOOKUP(F36,GDHI!B338:C574,2,FALSE),VLOOKUP(F36,GDHI!C3:C336,1,FALSE))</f>
        <v>North Lincolnshire</v>
      </c>
      <c r="H36" s="89" t="str">
        <f>IF(F36=G36,"",G36)</f>
        <v/>
      </c>
      <c r="I36" s="83">
        <f>IFERROR(VLOOKUP($F36,GDHI!$B$338:$U$574,GDHI!G$578,FALSE),VLOOKUP($F36,GDHI!$C$3:$U$336,GDHI!F$578,FALSE))</f>
        <v>12353</v>
      </c>
      <c r="J36" s="84">
        <f>IFERROR(VLOOKUP($F36,GDHI!$B$338:$U$574,GDHI!H$578,FALSE),VLOOKUP($F36,GDHI!$C$3:$U$336,GDHI!G$578,FALSE))</f>
        <v>12593</v>
      </c>
      <c r="K36" s="84">
        <f>IFERROR(VLOOKUP($F36,GDHI!$B$338:$U$574,GDHI!I$578,FALSE),VLOOKUP($F36,GDHI!$C$3:$U$336,GDHI!H$578,FALSE))</f>
        <v>12899</v>
      </c>
      <c r="L36" s="84">
        <f>IFERROR(VLOOKUP($F36,GDHI!$B$338:$U$574,GDHI!J$578,FALSE),VLOOKUP($F36,GDHI!$C$3:$U$336,GDHI!I$578,FALSE))</f>
        <v>13579</v>
      </c>
      <c r="M36" s="84">
        <f>IFERROR(VLOOKUP($F36,GDHI!$B$338:$U$574,GDHI!K$578,FALSE),VLOOKUP($F36,GDHI!$C$3:$U$336,GDHI!J$578,FALSE))</f>
        <v>13570</v>
      </c>
      <c r="N36" s="84">
        <f>IFERROR(VLOOKUP($F36,GDHI!$B$338:$U$574,GDHI!L$578,FALSE),VLOOKUP($F36,GDHI!$C$3:$U$336,GDHI!K$578,FALSE))</f>
        <v>13545</v>
      </c>
      <c r="O36" s="84">
        <f>IFERROR(VLOOKUP($F36,GDHI!$B$338:$U$574,GDHI!M$578,FALSE),VLOOKUP($F36,GDHI!$C$3:$U$336,GDHI!L$578,FALSE))</f>
        <v>13624</v>
      </c>
      <c r="P36" s="84">
        <f>IFERROR(VLOOKUP($F36,GDHI!$B$338:$U$574,GDHI!N$578,FALSE),VLOOKUP($F36,GDHI!$C$3:$U$336,GDHI!M$578,FALSE))</f>
        <v>14178</v>
      </c>
      <c r="Q36" s="84">
        <f>IFERROR(VLOOKUP($F36,GDHI!$B$338:$U$574,GDHI!O$578,FALSE),VLOOKUP($F36,GDHI!$C$3:$U$336,GDHI!N$578,FALSE))</f>
        <v>14544</v>
      </c>
      <c r="R36" s="84">
        <f>IFERROR(VLOOKUP($F36,GDHI!$B$338:$U$574,GDHI!P$578,FALSE),VLOOKUP($F36,GDHI!$C$3:$U$336,GDHI!O$578,FALSE))</f>
        <v>14701</v>
      </c>
      <c r="S36" s="84">
        <f>IFERROR(VLOOKUP($F36,GDHI!$B$338:$U$574,GDHI!Q$578,FALSE),VLOOKUP($F36,GDHI!$C$3:$U$336,GDHI!P$578,FALSE))</f>
        <v>14955</v>
      </c>
      <c r="T36" s="84">
        <f>IFERROR(VLOOKUP($F36,GDHI!$B$338:$U$574,GDHI!R$578,FALSE),VLOOKUP($F36,GDHI!$C$3:$U$336,GDHI!Q$578,FALSE))</f>
        <v>15516</v>
      </c>
      <c r="U36" s="84">
        <f>IFERROR(VLOOKUP($F36,GDHI!$B$338:$U$574,GDHI!S$578,FALSE),VLOOKUP($F36,GDHI!$C$3:$U$336,GDHI!R$578,FALSE))</f>
        <v>15700</v>
      </c>
      <c r="V36" s="84">
        <f>IFERROR(VLOOKUP($F36,GDHI!$B$338:$U$574,GDHI!T$578,FALSE),VLOOKUP($F36,GDHI!$C$3:$U$336,GDHI!S$578,FALSE))</f>
        <v>16219</v>
      </c>
      <c r="W36" s="84">
        <f>IFERROR(VLOOKUP($F36,GDHI!$B$338:$U$574,GDHI!U$578,FALSE),VLOOKUP($F36,GDHI!$C$3:$U$336,GDHI!T$578,FALSE))</f>
        <v>16804</v>
      </c>
      <c r="X36" s="84">
        <f>IFERROR(VLOOKUP($F36,GDHI!$B$338:$U$574,GDHI!V$578,FALSE),VLOOKUP($F36,GDHI!$C$3:$U$336,GDHI!U$578,FALSE))</f>
        <v>17218</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North Lincolnshire to Rural as a Region</v>
      </c>
      <c r="G39" s="122"/>
      <c r="H39" s="123"/>
      <c r="I39" s="74">
        <f>100*((I36-I37)/I37)</f>
        <v>-16.020259016281997</v>
      </c>
      <c r="J39" s="74">
        <f t="shared" ref="J39:X39" si="6">100*((J36-J37)/J37)</f>
        <v>-17.915139588462935</v>
      </c>
      <c r="K39" s="74">
        <f t="shared" si="6"/>
        <v>-18.997391657340472</v>
      </c>
      <c r="L39" s="74">
        <f t="shared" si="6"/>
        <v>-18.041684899409159</v>
      </c>
      <c r="M39" s="74">
        <f t="shared" si="6"/>
        <v>-20.472915037294449</v>
      </c>
      <c r="N39" s="74">
        <f t="shared" si="6"/>
        <v>-21.673132062742457</v>
      </c>
      <c r="O39" s="74">
        <f t="shared" si="6"/>
        <v>-22.183774006996838</v>
      </c>
      <c r="P39" s="74">
        <f t="shared" si="6"/>
        <v>-20.348527692542284</v>
      </c>
      <c r="Q39" s="74">
        <f t="shared" si="6"/>
        <v>-20.811732632258508</v>
      </c>
      <c r="R39" s="74">
        <f t="shared" si="6"/>
        <v>-22.109535003857047</v>
      </c>
      <c r="S39" s="74">
        <f t="shared" si="6"/>
        <v>-22.896615471865566</v>
      </c>
      <c r="T39" s="74">
        <f t="shared" si="6"/>
        <v>-24.158133071710122</v>
      </c>
      <c r="U39" s="74">
        <f t="shared" si="6"/>
        <v>-23.878436379504212</v>
      </c>
      <c r="V39" s="74">
        <f t="shared" si="6"/>
        <v>-22.639530611816131</v>
      </c>
      <c r="W39" s="74">
        <f t="shared" si="6"/>
        <v>-23.065234003263726</v>
      </c>
      <c r="X39" s="74">
        <f t="shared" si="6"/>
        <v>-22.668319190106683</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North Lincolnshire</v>
      </c>
      <c r="G44" s="88"/>
      <c r="H44" s="89"/>
      <c r="I44" s="76">
        <f>VLOOKUP($F44,'LOW PAID'!$A$9:$N$444,6,FALSE)</f>
        <v>30.3</v>
      </c>
      <c r="J44" s="77">
        <f>VLOOKUP($F44,'LOW PAID'!$P$9:$W$444,6,FALSE)</f>
        <v>28.3</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North Lincolnshire to Rural as a Region</v>
      </c>
      <c r="G47" s="122"/>
      <c r="H47" s="123"/>
      <c r="I47" s="74">
        <f>(I44-I45)</f>
        <v>5.1061253217868838</v>
      </c>
      <c r="J47" s="74">
        <f>(J44-J45)</f>
        <v>2.6138834909699469</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North Lincolnshire</v>
      </c>
      <c r="G52" s="88"/>
      <c r="H52" s="89"/>
      <c r="I52" s="76">
        <f>VLOOKUP($F52,INACTIVITY!$A$6:$BW$345,6,FALSE)</f>
        <v>23.5</v>
      </c>
      <c r="J52" s="77">
        <f>VLOOKUP($F52,INACTIVITY!$A$6:$BW$345,10,FALSE)</f>
        <v>22.7</v>
      </c>
      <c r="K52" s="77">
        <f>VLOOKUP($F52,INACTIVITY!$A$6:$BW$345,14,FALSE)</f>
        <v>21.1</v>
      </c>
      <c r="L52" s="77">
        <f>VLOOKUP($F52,INACTIVITY!$A$6:$BW$345,18,FALSE)</f>
        <v>21.8</v>
      </c>
      <c r="M52" s="77">
        <f>VLOOKUP($F52,INACTIVITY!$A$6:$BW$345,22,FALSE)</f>
        <v>22.2</v>
      </c>
      <c r="N52" s="77">
        <f>VLOOKUP($F52,INACTIVITY!$A$6:$BW$345,26,FALSE)</f>
        <v>22.5</v>
      </c>
      <c r="O52" s="77">
        <f>VLOOKUP($F52,INACTIVITY!$A$6:$BW$345,30,FALSE)</f>
        <v>23.2</v>
      </c>
      <c r="P52" s="77">
        <f>VLOOKUP($F52,INACTIVITY!$A$6:$BW$345,34,FALSE)</f>
        <v>22.5</v>
      </c>
      <c r="Q52" s="77">
        <f>VLOOKUP($F52,INACTIVITY!$A$6:$BW$345,38,FALSE)</f>
        <v>21.9</v>
      </c>
      <c r="R52" s="77">
        <f>VLOOKUP($F52,INACTIVITY!$A$6:$BW$345,42,FALSE)</f>
        <v>20.9</v>
      </c>
      <c r="S52" s="77">
        <f>VLOOKUP($F52,INACTIVITY!$A$6:$BW$345,46,FALSE)</f>
        <v>22</v>
      </c>
      <c r="T52" s="77">
        <f>VLOOKUP($F52,INACTIVITY!$A$6:$BW$345,50,FALSE)</f>
        <v>25.2</v>
      </c>
      <c r="U52" s="77">
        <f>VLOOKUP($F52,INACTIVITY!$A$6:$BW$345,54,FALSE)</f>
        <v>22.8</v>
      </c>
      <c r="V52" s="77">
        <f>VLOOKUP($F52,INACTIVITY!$A$6:$BW$345,58,FALSE)</f>
        <v>20.7</v>
      </c>
      <c r="W52" s="77">
        <f>VLOOKUP($F52,INACTIVITY!$A$6:$BW$345,62,FALSE)</f>
        <v>24.2</v>
      </c>
      <c r="X52" s="77">
        <f>VLOOKUP($F52,INACTIVITY!$A$6:$BW$345,66,FALSE)</f>
        <v>24.2</v>
      </c>
      <c r="Y52" s="77">
        <f>VLOOKUP($F52,INACTIVITY!$A$6:$BW$345,70,FALSE)</f>
        <v>22.1</v>
      </c>
      <c r="Z52" s="77">
        <f>VLOOKUP($F52,INACTIVITY!$A$6:$BW$345,74,FALSE)</f>
        <v>26.3</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North Lincolnshire to Rural as a Region</v>
      </c>
      <c r="G55" s="122"/>
      <c r="H55" s="123"/>
      <c r="I55" s="74">
        <f>(I52-I53)</f>
        <v>2.1043554283897627</v>
      </c>
      <c r="J55" s="74">
        <f t="shared" ref="J55:Z55" si="10">(J52-J53)</f>
        <v>1.6914772727272727</v>
      </c>
      <c r="K55" s="74">
        <f t="shared" si="10"/>
        <v>0.23753460654122449</v>
      </c>
      <c r="L55" s="74">
        <f t="shared" si="10"/>
        <v>0.48593466846336142</v>
      </c>
      <c r="M55" s="74">
        <f t="shared" si="10"/>
        <v>1.3649976891079945</v>
      </c>
      <c r="N55" s="74">
        <f t="shared" si="10"/>
        <v>1.5668562420795595</v>
      </c>
      <c r="O55" s="74">
        <f t="shared" si="10"/>
        <v>1.5080628724948255</v>
      </c>
      <c r="P55" s="74">
        <f t="shared" si="10"/>
        <v>1.0057542192465512</v>
      </c>
      <c r="Q55" s="74">
        <f t="shared" si="10"/>
        <v>0.7174512055109048</v>
      </c>
      <c r="R55" s="74">
        <f t="shared" si="10"/>
        <v>0.12540690256122744</v>
      </c>
      <c r="S55" s="74">
        <f t="shared" si="10"/>
        <v>1.7267895440276</v>
      </c>
      <c r="T55" s="74">
        <f t="shared" si="10"/>
        <v>5.5038053165930414</v>
      </c>
      <c r="U55" s="74">
        <f t="shared" si="10"/>
        <v>2.9475706529305299</v>
      </c>
      <c r="V55" s="74">
        <f t="shared" si="10"/>
        <v>1.4467226657196228</v>
      </c>
      <c r="W55" s="74">
        <f t="shared" si="10"/>
        <v>5.0230439908171505</v>
      </c>
      <c r="X55" s="74">
        <f t="shared" si="10"/>
        <v>5.3479350506350691</v>
      </c>
      <c r="Y55" s="74">
        <f t="shared" si="10"/>
        <v>2.3274172781285394</v>
      </c>
      <c r="Z55" s="74">
        <f t="shared" si="10"/>
        <v>5.2148202243699302</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North Lincolnshire</v>
      </c>
      <c r="G60" s="88"/>
      <c r="H60" s="89"/>
      <c r="I60" s="76">
        <f>VLOOKUP($F60,DISABILITY!$A$718:$I$1052,DISABILITY!B$1053,FALSE)</f>
        <v>32.400000000000006</v>
      </c>
      <c r="J60" s="77">
        <f>VLOOKUP($F60,DISABILITY!$A$718:$I$1052,DISABILITY!C$1053,FALSE)</f>
        <v>36.200000000000003</v>
      </c>
      <c r="K60" s="77">
        <f>VLOOKUP($F60,DISABILITY!$A$718:$I$1052,DISABILITY!D$1053,FALSE)</f>
        <v>31.599999999999994</v>
      </c>
      <c r="L60" s="77">
        <f>VLOOKUP($F60,DISABILITY!$A$718:$I$1052,DISABILITY!E$1053,FALSE)</f>
        <v>28.4</v>
      </c>
      <c r="M60" s="77">
        <f>VLOOKUP($F60,DISABILITY!$A$718:$I$1052,DISABILITY!F$1053,FALSE)</f>
        <v>35.400000000000006</v>
      </c>
      <c r="N60" s="77">
        <f>VLOOKUP($F60,DISABILITY!$A$718:$I$1052,DISABILITY!G$1053,FALSE)</f>
        <v>42.500000000000007</v>
      </c>
      <c r="O60" s="77">
        <f>VLOOKUP($F60,DISABILITY!$A$718:$I$1052,DISABILITY!H$1053,FALSE)</f>
        <v>34.700000000000003</v>
      </c>
      <c r="P60" s="77">
        <f>VLOOKUP($F60,DISABILITY!$A$718:$I$1052,DISABILITY!I$1053,FALSE)</f>
        <v>25.700000000000003</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North Lincolnshire to Rural as a Region</v>
      </c>
      <c r="G63" s="122"/>
      <c r="H63" s="123"/>
      <c r="I63" s="74">
        <f>(I60-I61)</f>
        <v>4.9798434593527574</v>
      </c>
      <c r="J63" s="74">
        <f t="shared" ref="J63:P63" si="12">(J60-J61)</f>
        <v>8.8809555929488155</v>
      </c>
      <c r="K63" s="74">
        <f t="shared" si="12"/>
        <v>3.4808716385017888</v>
      </c>
      <c r="L63" s="74">
        <f t="shared" si="12"/>
        <v>2.4090654610033226</v>
      </c>
      <c r="M63" s="74">
        <f t="shared" si="12"/>
        <v>9.9247741813338877</v>
      </c>
      <c r="N63" s="74">
        <f t="shared" si="12"/>
        <v>16.968752314558024</v>
      </c>
      <c r="O63" s="74">
        <f t="shared" si="12"/>
        <v>10.902777712003058</v>
      </c>
      <c r="P63" s="74">
        <f t="shared" si="12"/>
        <v>0.34582206965782802</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North Lincolnshire</v>
      </c>
      <c r="G68" s="88"/>
      <c r="H68" s="89"/>
      <c r="I68" s="76">
        <f>VLOOKUP($F68,'WORKLESS HOUSEHOLDS'!$DW$4:$EC$397,7,FALSE)</f>
        <v>15.208315116291605</v>
      </c>
      <c r="J68" s="77">
        <f>VLOOKUP($F68,'WORKLESS HOUSEHOLDS'!$DN$4:$DT$397,7,FALSE)</f>
        <v>14.786992828252135</v>
      </c>
      <c r="K68" s="77">
        <f>VLOOKUP($F68,'WORKLESS HOUSEHOLDS'!$DE$4:$DK$397,7,FALSE)</f>
        <v>15.602360959512865</v>
      </c>
      <c r="L68" s="77">
        <f>VLOOKUP($F68,'WORKLESS HOUSEHOLDS'!$CV$4:$DB$397,7,FALSE)</f>
        <v>16.155533194928417</v>
      </c>
      <c r="M68" s="77">
        <f>VLOOKUP($F68,'WORKLESS HOUSEHOLDS'!$CM$4:$CS$397,7,FALSE)</f>
        <v>16.305381544299539</v>
      </c>
      <c r="N68" s="77">
        <f>VLOOKUP($F68,'WORKLESS HOUSEHOLDS'!$CD$4:$CJ$397,7,FALSE)</f>
        <v>20.657493439251009</v>
      </c>
      <c r="O68" s="77">
        <f>VLOOKUP($F68,'WORKLESS HOUSEHOLDS'!$BU$4:$CA$397,7,FALSE)</f>
        <v>22.814038430998888</v>
      </c>
      <c r="P68" s="77">
        <f>VLOOKUP($F68,'WORKLESS HOUSEHOLDS'!$BL$4:$BR$397,7,FALSE)</f>
        <v>13.244216281085405</v>
      </c>
      <c r="Q68" s="77">
        <f>VLOOKUP($F68,'WORKLESS HOUSEHOLDS'!$BC$4:$BI$397,7,FALSE)</f>
        <v>15.043536934100182</v>
      </c>
      <c r="R68" s="77">
        <f>VLOOKUP($F68,'WORKLESS HOUSEHOLDS'!$AT$4:$AZ$397,7,FALSE)</f>
        <v>14.108785614338027</v>
      </c>
      <c r="S68" s="77">
        <f>VLOOKUP($F68,'WORKLESS HOUSEHOLDS'!$AK$4:$AQ$397,7,FALSE)</f>
        <v>16.681776971894831</v>
      </c>
      <c r="T68" s="77">
        <f>VLOOKUP($F68,'WORKLESS HOUSEHOLDS'!$AB$4:$AH$397,7,FALSE)</f>
        <v>11.812035158891144</v>
      </c>
      <c r="U68" s="77">
        <f>VLOOKUP($F68,'WORKLESS HOUSEHOLDS'!$S$4:$Y$397,7,FALSE)</f>
        <v>14.147348929957626</v>
      </c>
      <c r="V68" s="77">
        <f>VLOOKUP($F68,'WORKLESS HOUSEHOLDS'!$J$4:$P$397,7,FALSE)</f>
        <v>11.124047019942164</v>
      </c>
      <c r="W68" s="77">
        <f>VLOOKUP($F68,'WORKLESS HOUSEHOLDS'!$B$4:$H$397,7,FALSE)</f>
        <v>11.823319938580157</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North Lincolnshire to Rural as a Region</v>
      </c>
      <c r="G71" s="122"/>
      <c r="H71" s="123"/>
      <c r="I71" s="74">
        <f>(I68-I69)</f>
        <v>5.1963692537049138</v>
      </c>
      <c r="J71" s="74">
        <f t="shared" ref="J71:W71" si="14">(J68-J69)</f>
        <v>3.8758379907771108</v>
      </c>
      <c r="K71" s="74">
        <f t="shared" si="14"/>
        <v>5.3091152303570208</v>
      </c>
      <c r="L71" s="74">
        <f t="shared" si="14"/>
        <v>5.1895265335986842</v>
      </c>
      <c r="M71" s="74">
        <f t="shared" si="14"/>
        <v>4.6116023631110661</v>
      </c>
      <c r="N71" s="74">
        <f t="shared" si="14"/>
        <v>8.7563937599956283</v>
      </c>
      <c r="O71" s="74">
        <f t="shared" si="14"/>
        <v>11.778785183256376</v>
      </c>
      <c r="P71" s="74">
        <f t="shared" si="14"/>
        <v>3.5527183953175676</v>
      </c>
      <c r="Q71" s="74">
        <f t="shared" si="14"/>
        <v>4.2383586737017698</v>
      </c>
      <c r="R71" s="74">
        <f t="shared" si="14"/>
        <v>3.4026892906084729</v>
      </c>
      <c r="S71" s="74">
        <f t="shared" si="14"/>
        <v>6.5290321437459493</v>
      </c>
      <c r="T71" s="74">
        <f t="shared" si="14"/>
        <v>1.9083669642583931</v>
      </c>
      <c r="U71" s="74">
        <f t="shared" si="14"/>
        <v>3.3852987652781508</v>
      </c>
      <c r="V71" s="74">
        <f t="shared" si="14"/>
        <v>1.1851785434025164</v>
      </c>
      <c r="W71" s="74">
        <f t="shared" si="14"/>
        <v>1.4706185153959641</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North Lincolnshire</v>
      </c>
      <c r="G76" s="88"/>
      <c r="H76" s="89"/>
      <c r="I76" s="76">
        <f>VLOOKUP($F76,'SKILLED EMPLOYMENT'!$A$1506:$BW$1841,6,FALSE)</f>
        <v>42.699999999999996</v>
      </c>
      <c r="J76" s="77">
        <f>VLOOKUP($F76,'SKILLED EMPLOYMENT'!$A$1506:$BW$1841,10,FALSE)</f>
        <v>43.400000000000006</v>
      </c>
      <c r="K76" s="77">
        <f>VLOOKUP($F76,'SKILLED EMPLOYMENT'!$A$1506:$BW$1841,14,FALSE)</f>
        <v>44</v>
      </c>
      <c r="L76" s="77">
        <f>VLOOKUP($F76,'SKILLED EMPLOYMENT'!$A$1506:$BW$1841,18,FALSE)</f>
        <v>43.599999999999994</v>
      </c>
      <c r="M76" s="77">
        <f>VLOOKUP($F76,'SKILLED EMPLOYMENT'!$A$1506:$BW$1841,22,FALSE)</f>
        <v>45.6</v>
      </c>
      <c r="N76" s="77">
        <f>VLOOKUP($F76,'SKILLED EMPLOYMENT'!$A$1506:$BW$1841,26,FALSE)</f>
        <v>46.100000000000009</v>
      </c>
      <c r="O76" s="77">
        <f>VLOOKUP($F76,'SKILLED EMPLOYMENT'!$A$1506:$BW$1841,30,FALSE)</f>
        <v>45.3</v>
      </c>
      <c r="P76" s="77">
        <f>VLOOKUP($F76,'SKILLED EMPLOYMENT'!$A$1506:$BW$1841,34,FALSE)</f>
        <v>44.9</v>
      </c>
      <c r="Q76" s="77">
        <f>VLOOKUP($F76,'SKILLED EMPLOYMENT'!$A$1506:$BW$1841,38,FALSE)</f>
        <v>49</v>
      </c>
      <c r="R76" s="77">
        <f>VLOOKUP($F76,'SKILLED EMPLOYMENT'!$A$1506:$BW$1841,42,FALSE)</f>
        <v>45.3</v>
      </c>
      <c r="S76" s="77">
        <f>VLOOKUP($F76,'SKILLED EMPLOYMENT'!$A$1506:$BW$1841,46,FALSE)</f>
        <v>44.7</v>
      </c>
      <c r="T76" s="77">
        <f>VLOOKUP($F76,'SKILLED EMPLOYMENT'!$A$1506:$BW$1841,50,FALSE)</f>
        <v>47.3</v>
      </c>
      <c r="U76" s="77">
        <f>VLOOKUP($F76,'SKILLED EMPLOYMENT'!$A$1506:$BW$1841,54,FALSE)</f>
        <v>51.1</v>
      </c>
      <c r="V76" s="77">
        <f>VLOOKUP($F76,'SKILLED EMPLOYMENT'!$A$1506:$BW$1841,58,FALSE)</f>
        <v>49.2</v>
      </c>
      <c r="W76" s="77">
        <f>VLOOKUP($F76,'SKILLED EMPLOYMENT'!$A$1506:$BW$1841,62,FALSE)</f>
        <v>46.399999999999991</v>
      </c>
      <c r="X76" s="77">
        <f>VLOOKUP($F76,'SKILLED EMPLOYMENT'!$A$1506:$BW$1841,66,FALSE)</f>
        <v>50.599999999999994</v>
      </c>
      <c r="Y76" s="77">
        <f>VLOOKUP($F76,'SKILLED EMPLOYMENT'!$A$1506:$BW$1841,70,FALSE)</f>
        <v>51.5</v>
      </c>
      <c r="Z76" s="77">
        <f>VLOOKUP($F76,'SKILLED EMPLOYMENT'!$A$1506:$BW$1841,74,FALSE)</f>
        <v>51.3</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North Lincolnshire to Rural as a Region</v>
      </c>
      <c r="G79" s="122"/>
      <c r="H79" s="123"/>
      <c r="I79" s="74">
        <f>(I76-I77)</f>
        <v>-10.000000000000007</v>
      </c>
      <c r="J79" s="74">
        <f t="shared" ref="J79:Z79" si="17">(J76-J77)</f>
        <v>-9.4999999999999929</v>
      </c>
      <c r="K79" s="74">
        <f t="shared" si="17"/>
        <v>-9.5</v>
      </c>
      <c r="L79" s="74">
        <f t="shared" si="17"/>
        <v>-10.400000000000006</v>
      </c>
      <c r="M79" s="74">
        <f t="shared" si="17"/>
        <v>-8.5</v>
      </c>
      <c r="N79" s="74">
        <f t="shared" si="17"/>
        <v>-8.2999999999999901</v>
      </c>
      <c r="O79" s="74">
        <f t="shared" si="17"/>
        <v>-10.100000000000001</v>
      </c>
      <c r="P79" s="74">
        <f t="shared" si="17"/>
        <v>-10.700000000000003</v>
      </c>
      <c r="Q79" s="74">
        <f t="shared" si="17"/>
        <v>-6.3999999999999986</v>
      </c>
      <c r="R79" s="74">
        <f t="shared" si="17"/>
        <v>-10.900000000000006</v>
      </c>
      <c r="S79" s="74">
        <f t="shared" si="17"/>
        <v>-11.5</v>
      </c>
      <c r="T79" s="74">
        <f t="shared" si="17"/>
        <v>-9.5</v>
      </c>
      <c r="U79" s="74">
        <f t="shared" si="17"/>
        <v>-5.5</v>
      </c>
      <c r="V79" s="74">
        <f t="shared" si="17"/>
        <v>-7.8999999999999986</v>
      </c>
      <c r="W79" s="74">
        <f t="shared" si="17"/>
        <v>-11.400000000000006</v>
      </c>
      <c r="X79" s="74">
        <f t="shared" si="17"/>
        <v>-8.2000000000000028</v>
      </c>
      <c r="Y79" s="74">
        <f t="shared" si="17"/>
        <v>-7.2000000000000028</v>
      </c>
      <c r="Z79" s="74">
        <f t="shared" si="17"/>
        <v>-7.1000000000000014</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1qxNlbrPSYBYHEl+iC2ClG45T0VdKkOkCLYiU7EXY1SfXyfmGLQHRFhHFBeTfpLBpawusvZ6MpfTnAVNzHMkMQ==" saltValue="7jXCBoUiBQvkD63Ihx8PNw=="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2022-08-02T11:34:34Z</dcterms:modified>
</cp:coreProperties>
</file>