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A0AACD12-8EFE-45C8-AC26-A9488785D9DF}" xr6:coauthVersionLast="47" xr6:coauthVersionMax="47" xr10:uidLastSave="{A5982FB5-E6F4-4311-85BD-684E0A656E0A}"/>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<sst xmlns="http://schemas.openxmlformats.org/spreadsheetml/2006/main" count="32859" uniqueCount="1676">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</sst>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North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19.75</c:v>
                </c:pt>
                <c:pt idx="1">
                  <c:v>19.579999999999998</c:v>
                </c:pt>
                <c:pt idx="2">
                  <c:v>21.59</c:v>
                </c:pt>
                <c:pt idx="3">
                  <c:v>22.56</c:v>
                </c:pt>
                <c:pt idx="4">
                  <c:v>22.78</c:v>
                </c:pt>
                <c:pt idx="5">
                  <c:v>22.51</c:v>
                </c:pt>
                <c:pt idx="6">
                  <c:v>22.4</c:v>
                </c:pt>
                <c:pt idx="7">
                  <c:v>22.5</c:v>
                </c:pt>
                <c:pt idx="8">
                  <c:v>22.64</c:v>
                </c:pt>
                <c:pt idx="9">
                  <c:v>22.63</c:v>
                </c:pt>
                <c:pt idx="10">
                  <c:v>22.58</c:v>
                </c:pt>
                <c:pt idx="11">
                  <c:v>23.14</c:v>
                </c:pt>
                <c:pt idx="12">
                  <c:v>24.12</c:v>
                </c:pt>
                <c:pt idx="13">
                  <c:v>25.48</c:v>
                </c:pt>
                <c:pt idx="14">
                  <c:v>26.14</c:v>
                </c:pt>
                <c:pt idx="15">
                  <c:v>26.34</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North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352.7</c:v>
                </c:pt>
                <c:pt idx="1">
                  <c:v>394.7</c:v>
                </c:pt>
                <c:pt idx="2">
                  <c:v>377.3</c:v>
                </c:pt>
                <c:pt idx="3">
                  <c:v>419.5</c:v>
                </c:pt>
                <c:pt idx="4">
                  <c:v>389.2</c:v>
                </c:pt>
                <c:pt idx="5">
                  <c:v>402.6</c:v>
                </c:pt>
                <c:pt idx="6">
                  <c:v>402.4</c:v>
                </c:pt>
                <c:pt idx="7">
                  <c:v>450.2</c:v>
                </c:pt>
                <c:pt idx="8">
                  <c:v>490.7</c:v>
                </c:pt>
                <c:pt idx="9">
                  <c:v>459.1</c:v>
                </c:pt>
                <c:pt idx="10">
                  <c:v>481.3</c:v>
                </c:pt>
                <c:pt idx="11">
                  <c:v>485.3</c:v>
                </c:pt>
                <c:pt idx="12">
                  <c:v>527.6</c:v>
                </c:pt>
                <c:pt idx="13">
                  <c:v>512.5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North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71.900000000000006</c:v>
                </c:pt>
                <c:pt idx="1">
                  <c:v>69.8</c:v>
                </c:pt>
                <c:pt idx="2">
                  <c:v>73.5</c:v>
                </c:pt>
                <c:pt idx="3">
                  <c:v>74.3</c:v>
                </c:pt>
                <c:pt idx="4">
                  <c:v>65.7</c:v>
                </c:pt>
                <c:pt idx="5">
                  <c:v>73</c:v>
                </c:pt>
                <c:pt idx="6">
                  <c:v>71.5</c:v>
                </c:pt>
                <c:pt idx="7">
                  <c:v>74.3</c:v>
                </c:pt>
                <c:pt idx="8">
                  <c:v>75.400000000000006</c:v>
                </c:pt>
                <c:pt idx="9">
                  <c:v>74.2</c:v>
                </c:pt>
                <c:pt idx="10">
                  <c:v>73</c:v>
                </c:pt>
                <c:pt idx="11">
                  <c:v>71.099999999999994</c:v>
                </c:pt>
                <c:pt idx="12">
                  <c:v>65.7</c:v>
                </c:pt>
                <c:pt idx="13">
                  <c:v>80</c:v>
                </c:pt>
                <c:pt idx="14">
                  <c:v>80.900000000000006</c:v>
                </c:pt>
                <c:pt idx="15">
                  <c:v>73.3</c:v>
                </c:pt>
                <c:pt idx="16">
                  <c:v>72.5</c:v>
                </c:pt>
                <c:pt idx="17">
                  <c:v>76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North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12655</c:v>
                </c:pt>
                <c:pt idx="1">
                  <c:v>13279</c:v>
                </c:pt>
                <c:pt idx="2">
                  <c:v>13405</c:v>
                </c:pt>
                <c:pt idx="3">
                  <c:v>14230</c:v>
                </c:pt>
                <c:pt idx="4">
                  <c:v>15007</c:v>
                </c:pt>
                <c:pt idx="5">
                  <c:v>15263</c:v>
                </c:pt>
                <c:pt idx="6">
                  <c:v>15910</c:v>
                </c:pt>
                <c:pt idx="7">
                  <c:v>16243</c:v>
                </c:pt>
                <c:pt idx="8">
                  <c:v>16779</c:v>
                </c:pt>
                <c:pt idx="9">
                  <c:v>17140</c:v>
                </c:pt>
                <c:pt idx="10">
                  <c:v>17580</c:v>
                </c:pt>
                <c:pt idx="11">
                  <c:v>18421</c:v>
                </c:pt>
                <c:pt idx="12">
                  <c:v>18547</c:v>
                </c:pt>
                <c:pt idx="13">
                  <c:v>18904</c:v>
                </c:pt>
                <c:pt idx="14">
                  <c:v>19909</c:v>
                </c:pt>
                <c:pt idx="15">
                  <c:v>20466</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North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32.5</c:v>
                </c:pt>
                <c:pt idx="1">
                  <c:v>30.7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North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25.6</c:v>
                </c:pt>
                <c:pt idx="1">
                  <c:v>27.4</c:v>
                </c:pt>
                <c:pt idx="2">
                  <c:v>24.6</c:v>
                </c:pt>
                <c:pt idx="3">
                  <c:v>23.2</c:v>
                </c:pt>
                <c:pt idx="4">
                  <c:v>28.8</c:v>
                </c:pt>
                <c:pt idx="5">
                  <c:v>23.4</c:v>
                </c:pt>
                <c:pt idx="6">
                  <c:v>27.2</c:v>
                </c:pt>
                <c:pt idx="7">
                  <c:v>19.100000000000001</c:v>
                </c:pt>
                <c:pt idx="8">
                  <c:v>23.1</c:v>
                </c:pt>
                <c:pt idx="9">
                  <c:v>23.4</c:v>
                </c:pt>
                <c:pt idx="10">
                  <c:v>23.9</c:v>
                </c:pt>
                <c:pt idx="11">
                  <c:v>27.4</c:v>
                </c:pt>
                <c:pt idx="12">
                  <c:v>31.5</c:v>
                </c:pt>
                <c:pt idx="13">
                  <c:v>18.899999999999999</c:v>
                </c:pt>
                <c:pt idx="14">
                  <c:v>18.5</c:v>
                </c:pt>
                <c:pt idx="15">
                  <c:v>22.7</c:v>
                </c:pt>
                <c:pt idx="16">
                  <c:v>21.8</c:v>
                </c:pt>
                <c:pt idx="17">
                  <c:v>21.4</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North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33.300000000000004</c:v>
                </c:pt>
                <c:pt idx="1">
                  <c:v>35.600000000000009</c:v>
                </c:pt>
                <c:pt idx="2">
                  <c:v>47.4</c:v>
                </c:pt>
                <c:pt idx="3">
                  <c:v>19</c:v>
                </c:pt>
                <c:pt idx="4">
                  <c:v>30.5</c:v>
                </c:pt>
                <c:pt idx="5">
                  <c:v>-13</c:v>
                </c:pt>
                <c:pt idx="6">
                  <c:v>29.099999999999994</c:v>
                </c:pt>
                <c:pt idx="7">
                  <c:v>2.5999999999999943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North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13.683846152745852</c:v>
                </c:pt>
                <c:pt idx="1">
                  <c:v>11.675445231959664</c:v>
                </c:pt>
                <c:pt idx="2">
                  <c:v>20.407770416593145</c:v>
                </c:pt>
                <c:pt idx="3">
                  <c:v>9.4561030052808892</c:v>
                </c:pt>
                <c:pt idx="4">
                  <c:v>8.2503705104176515</c:v>
                </c:pt>
                <c:pt idx="5">
                  <c:v>23.279674509110208</c:v>
                </c:pt>
                <c:pt idx="6">
                  <c:v>6.4011507686775149</c:v>
                </c:pt>
                <c:pt idx="7">
                  <c:v>0</c:v>
                </c:pt>
                <c:pt idx="8">
                  <c:v>0</c:v>
                </c:pt>
                <c:pt idx="9">
                  <c:v>0</c:v>
                </c:pt>
                <c:pt idx="10">
                  <c:v>0</c:v>
                </c:pt>
                <c:pt idx="11">
                  <c:v>0</c:v>
                </c:pt>
                <c:pt idx="12">
                  <c:v>17.654953635919963</c:v>
                </c:pt>
                <c:pt idx="13">
                  <c:v>17.820962089837529</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North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44.8</c:v>
                </c:pt>
                <c:pt idx="1">
                  <c:v>49.1</c:v>
                </c:pt>
                <c:pt idx="2">
                  <c:v>45.6</c:v>
                </c:pt>
                <c:pt idx="3">
                  <c:v>50.000000000000007</c:v>
                </c:pt>
                <c:pt idx="4">
                  <c:v>50.8</c:v>
                </c:pt>
                <c:pt idx="5">
                  <c:v>50.9</c:v>
                </c:pt>
                <c:pt idx="6">
                  <c:v>57.5</c:v>
                </c:pt>
                <c:pt idx="7">
                  <c:v>51.3</c:v>
                </c:pt>
                <c:pt idx="8">
                  <c:v>56.599999999999994</c:v>
                </c:pt>
                <c:pt idx="9">
                  <c:v>53.4</c:v>
                </c:pt>
                <c:pt idx="10">
                  <c:v>42.5</c:v>
                </c:pt>
                <c:pt idx="11">
                  <c:v>44.2</c:v>
                </c:pt>
                <c:pt idx="12">
                  <c:v>63.7</c:v>
                </c:pt>
                <c:pt idx="13">
                  <c:v>51.9</c:v>
                </c:pt>
                <c:pt idx="14">
                  <c:v>51.2</c:v>
                </c:pt>
                <c:pt idx="15">
                  <c:v>55.3</c:v>
                </c:pt>
                <c:pt idx="16">
                  <c:v>49.899999999999991</c:v>
                </c:pt>
                <c:pt idx="17">
                  <c:v>58.7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North Norfolk from 2004 to 2021 is in line with both England and 'Rural as a Region'.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in North Norfolk is consistently lower than that of England and 'Rural as a Region' between 2004 and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North Norfolk,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North Norflok's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North Norfolk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North Norfolk has been less stable and data unavailable for some years makes it impossible to assess whether a trend exists.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North Norfolk in general has a lower proportion of employed people in skilled employment than seen for 'Rural as a Region' and England.</a:t>
          </a:r>
          <a:endParaRPr lang="en-GB" sz="1100">
            <a:latin typeface="Avenir Next LT Pro" panose="020B0504020202020204" pitchFamily="34" charset="0"/>
          </a:endParaRPr>
        </a:p>
      </xdr:txBody>
    </xdr:sp>
    <xdr:clientData/>
  </xdr:twoCellAnchor>
  <xdr:twoCellAnchor>
    <xdr:from>
      <xdr:col>0</xdr:col>
      <xdr:colOff>586740</xdr:colOff>
      <xdr:row>12</xdr:row>
      <xdr:rowOff>480060</xdr:rowOff>
    </xdr:from>
    <xdr:to>
      <xdr:col>1</xdr:col>
      <xdr:colOff>2567940</xdr:colOff>
      <xdr:row>13</xdr:row>
      <xdr:rowOff>632460</xdr:rowOff>
    </xdr:to>
    <xdr:sp macro="" textlink="">
      <xdr:nvSpPr>
        <xdr:cNvPr id="20" name="TextBox 19">
          <a:extLst>
            <a:ext uri="{FF2B5EF4-FFF2-40B4-BE49-F238E27FC236}">
              <a16:creationId xmlns:a16="http://schemas.microsoft.com/office/drawing/2014/main" id="{492490D0-87DC-44BE-B613-1EED7769037B}"/>
            </a:ext>
          </a:extLst>
        </xdr:cNvPr>
        <xdr:cNvSpPr txBox="1"/>
      </xdr:nvSpPr>
      <xdr:spPr>
        <a:xfrm>
          <a:off x="586740" y="34671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North Norfolk in 2004 is below the rural situation.  Its increase to 2019 is at a similar rate to that of 'Rural as a Region', thus maintaining the gap.</a:t>
          </a:r>
          <a:endParaRPr lang="en-GB" sz="1100">
            <a:latin typeface="Avenir Next LT Pro" panose="020B0504020202020204" pitchFamily="34" charset="0"/>
          </a:endParaRPr>
        </a:p>
      </xdr:txBody>
    </xdr:sp>
    <xdr:clientData/>
  </xdr:twoCellAnchor>
  <xdr:twoCellAnchor>
    <xdr:from>
      <xdr:col>0</xdr:col>
      <xdr:colOff>601980</xdr:colOff>
      <xdr:row>20</xdr:row>
      <xdr:rowOff>563880</xdr:rowOff>
    </xdr:from>
    <xdr:to>
      <xdr:col>1</xdr:col>
      <xdr:colOff>2583180</xdr:colOff>
      <xdr:row>22</xdr:row>
      <xdr:rowOff>91440</xdr:rowOff>
    </xdr:to>
    <xdr:sp macro="" textlink="">
      <xdr:nvSpPr>
        <xdr:cNvPr id="21" name="TextBox 20">
          <a:extLst>
            <a:ext uri="{FF2B5EF4-FFF2-40B4-BE49-F238E27FC236}">
              <a16:creationId xmlns:a16="http://schemas.microsoft.com/office/drawing/2014/main" id="{DED06564-3F3D-4F84-8669-12A48E70E600}"/>
            </a:ext>
          </a:extLst>
        </xdr:cNvPr>
        <xdr:cNvSpPr txBox="1"/>
      </xdr:nvSpPr>
      <xdr:spPr>
        <a:xfrm>
          <a:off x="601980" y="74904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North Norfolk in 2008 is below both the England and rural positions, however a greater overall rate of increase to 2021 reduces the gap to both. </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374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North Norfolk</v>
      </c>
      <c r="G12" s="88" t="str">
        <f>IFERROR(VLOOKUP(F12,GVA!B244:B552,1,FALSE),VLOOKUP(F12,GVA!B6:C230,2,FALSE))</f>
        <v>North Norfolk</v>
      </c>
      <c r="H12" s="89" t="str">
        <f>IF(F12=G12,"",G12)</f>
        <v/>
      </c>
      <c r="I12" s="76">
        <f>IFERROR(VLOOKUP($F12,GVA!$B$7:$S$230,GVA!D$3,FALSE),VLOOKUP($F12,GVA!$B$244:$T$554,GVA!E$3,FALSE))</f>
        <v>19.75</v>
      </c>
      <c r="J12" s="77">
        <f>IFERROR(VLOOKUP($F12,GVA!$B$7:$S$230,GVA!E$3,FALSE),VLOOKUP($F12,GVA!$B$244:$T$554,GVA!F$3,FALSE))</f>
        <v>19.579999999999998</v>
      </c>
      <c r="K12" s="77">
        <f>IFERROR(VLOOKUP($F12,GVA!$B$7:$S$230,GVA!F$3,FALSE),VLOOKUP($F12,GVA!$B$244:$T$554,GVA!G$3,FALSE))</f>
        <v>21.59</v>
      </c>
      <c r="L12" s="77">
        <f>IFERROR(VLOOKUP($F12,GVA!$B$7:$S$230,GVA!G$3,FALSE),VLOOKUP($F12,GVA!$B$244:$T$554,GVA!H$3,FALSE))</f>
        <v>22.56</v>
      </c>
      <c r="M12" s="77">
        <f>IFERROR(VLOOKUP($F12,GVA!$B$7:$S$230,GVA!H$3,FALSE),VLOOKUP($F12,GVA!$B$244:$T$554,GVA!I$3,FALSE))</f>
        <v>22.78</v>
      </c>
      <c r="N12" s="77">
        <f>IFERROR(VLOOKUP($F12,GVA!$B$7:$S$230,GVA!I$3,FALSE),VLOOKUP($F12,GVA!$B$244:$T$554,GVA!J$3,FALSE))</f>
        <v>22.51</v>
      </c>
      <c r="O12" s="77">
        <f>IFERROR(VLOOKUP($F12,GVA!$B$7:$S$230,GVA!J$3,FALSE),VLOOKUP($F12,GVA!$B$244:$T$554,GVA!K$3,FALSE))</f>
        <v>22.4</v>
      </c>
      <c r="P12" s="77">
        <f>IFERROR(VLOOKUP($F12,GVA!$B$7:$S$230,GVA!K$3,FALSE),VLOOKUP($F12,GVA!$B$244:$T$554,GVA!L$3,FALSE))</f>
        <v>22.5</v>
      </c>
      <c r="Q12" s="77">
        <f>IFERROR(VLOOKUP($F12,GVA!$B$7:$S$230,GVA!L$3,FALSE),VLOOKUP($F12,GVA!$B$244:$T$554,GVA!M$3,FALSE))</f>
        <v>22.64</v>
      </c>
      <c r="R12" s="77">
        <f>IFERROR(VLOOKUP($F12,GVA!$B$7:$S$230,GVA!M$3,FALSE),VLOOKUP($F12,GVA!$B$244:$T$554,GVA!N$3,FALSE))</f>
        <v>22.63</v>
      </c>
      <c r="S12" s="77">
        <f>IFERROR(VLOOKUP($F12,GVA!$B$7:$S$230,GVA!N$3,FALSE),VLOOKUP($F12,GVA!$B$244:$T$554,GVA!O$3,FALSE))</f>
        <v>22.58</v>
      </c>
      <c r="T12" s="77">
        <f>IFERROR(VLOOKUP($F12,GVA!$B$7:$S$230,GVA!O$3,FALSE),VLOOKUP($F12,GVA!$B$244:$T$554,GVA!P$3,FALSE))</f>
        <v>23.14</v>
      </c>
      <c r="U12" s="77">
        <f>IFERROR(VLOOKUP($F12,GVA!$B$7:$S$230,GVA!P$3,FALSE),VLOOKUP($F12,GVA!$B$244:$T$554,GVA!Q$3,FALSE))</f>
        <v>24.12</v>
      </c>
      <c r="V12" s="77">
        <f>IFERROR(VLOOKUP($F12,GVA!$B$7:$S$230,GVA!Q$3,FALSE),VLOOKUP($F12,GVA!$B$244:$T$554,GVA!R$3,FALSE))</f>
        <v>25.48</v>
      </c>
      <c r="W12" s="77">
        <f>IFERROR(VLOOKUP($F12,GVA!$B$7:$S$230,GVA!R$3,FALSE),VLOOKUP($F12,GVA!$B$244:$T$554,GVA!S$3,FALSE))</f>
        <v>26.14</v>
      </c>
      <c r="X12" s="77">
        <f>IFERROR(VLOOKUP($F12,GVA!$B$7:$S$230,GVA!S$3,FALSE),VLOOKUP($F12,GVA!$B$244:$T$554,GVA!T$3,FALSE))</f>
        <v>26.34</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North Norfolk to Rural as a Region</v>
      </c>
      <c r="G15" s="122"/>
      <c r="H15" s="123"/>
      <c r="I15" s="74">
        <f>100*((I12-I13)/I13)</f>
        <v>-16.100679184977988</v>
      </c>
      <c r="J15" s="74">
        <f t="shared" ref="J15:X15" si="0">100*((J12-J13)/J13)</f>
        <v>-16.591273302635059</v>
      </c>
      <c r="K15" s="74">
        <f t="shared" si="0"/>
        <v>-11.166625031226632</v>
      </c>
      <c r="L15" s="74">
        <f t="shared" si="0"/>
        <v>-9.1735204463104871</v>
      </c>
      <c r="M15" s="74">
        <f t="shared" si="0"/>
        <v>-9.8344665752533693</v>
      </c>
      <c r="N15" s="74">
        <f t="shared" si="0"/>
        <v>-11.631015417977201</v>
      </c>
      <c r="O15" s="74">
        <f t="shared" si="0"/>
        <v>-13.145030627270483</v>
      </c>
      <c r="P15" s="74">
        <f t="shared" si="0"/>
        <v>-14.03894172386032</v>
      </c>
      <c r="Q15" s="74">
        <f t="shared" si="0"/>
        <v>-15.240005348308605</v>
      </c>
      <c r="R15" s="74">
        <f t="shared" si="0"/>
        <v>-16.721647587629988</v>
      </c>
      <c r="S15" s="74">
        <f t="shared" si="0"/>
        <v>-18.261386701831992</v>
      </c>
      <c r="T15" s="74">
        <f t="shared" si="0"/>
        <v>-17.791950736749492</v>
      </c>
      <c r="U15" s="74">
        <f t="shared" si="0"/>
        <v>-16.357526493305954</v>
      </c>
      <c r="V15" s="74">
        <f t="shared" si="0"/>
        <v>-13.979462652975091</v>
      </c>
      <c r="W15" s="74">
        <f t="shared" si="0"/>
        <v>-13.542203969775779</v>
      </c>
      <c r="X15" s="74">
        <f t="shared" si="0"/>
        <v>-13.78438302465409</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North Norfolk</v>
      </c>
      <c r="G20" s="88"/>
      <c r="H20" s="89"/>
      <c r="I20" s="80">
        <f>IF(VLOOKUP($F20,PAY!$A$11:$AE$349,4,FALSE)="-",#N/A,VLOOKUP($F20,PAY!$A$11:$AE$349,4,FALSE))</f>
        <v>352.7</v>
      </c>
      <c r="J20" s="80">
        <f>IF(VLOOKUP($F20,PAY!$A$11:$AE$349,6,FALSE)="-",#N/A,VLOOKUP($F20,PAY!$A$11:$AE$349,6,FALSE))</f>
        <v>394.7</v>
      </c>
      <c r="K20" s="80">
        <f>IF(VLOOKUP($F20,PAY!$A$11:$AE$349,8,FALSE)="-",#N/A,VLOOKUP($F20,PAY!$A$11:$AE$349,8,FALSE))</f>
        <v>377.3</v>
      </c>
      <c r="L20" s="80">
        <f>IF(VLOOKUP($F20,PAY!$A$11:$AE$349,10,FALSE)="-",#N/A,VLOOKUP($F20,PAY!$A$11:$AE$349,10,FALSE))</f>
        <v>419.5</v>
      </c>
      <c r="M20" s="80">
        <f>IF(VLOOKUP($F20,PAY!$A$11:$AE$349,12,FALSE)="-",#N/A,VLOOKUP($F20,PAY!$A$11:$AE$349,12,FALSE))</f>
        <v>389.2</v>
      </c>
      <c r="N20" s="80">
        <f>IF(VLOOKUP($F20,PAY!$A$11:$AE$349,14,FALSE)="-",#N/A,VLOOKUP($F20,PAY!$A$11:$AE$349,14,FALSE))</f>
        <v>402.6</v>
      </c>
      <c r="O20" s="80">
        <f>IF(VLOOKUP($F20,PAY!$A$11:$AE$349,16,FALSE)="-",#N/A,VLOOKUP($F20,PAY!$A$11:$AE$349,16,FALSE))</f>
        <v>402.4</v>
      </c>
      <c r="P20" s="80">
        <f>IF(VLOOKUP($F20,PAY!$A$11:$AE$349,18,FALSE)="-",#N/A,VLOOKUP($F20,PAY!$A$11:$AE$349,18,FALSE))</f>
        <v>450.2</v>
      </c>
      <c r="Q20" s="80">
        <f>IF(VLOOKUP($F20,PAY!$A$11:$AE$349,20,FALSE)="-",#N/A,VLOOKUP($F20,PAY!$A$11:$AE$349,20,FALSE))</f>
        <v>490.7</v>
      </c>
      <c r="R20" s="80">
        <f>IF(VLOOKUP($F20,PAY!$A$11:$AE$349,22,FALSE)="-",#N/A,VLOOKUP($F20,PAY!$A$11:$AE$349,22,FALSE))</f>
        <v>459.1</v>
      </c>
      <c r="S20" s="80">
        <f>IF(VLOOKUP($F20,PAY!$A$11:$AE$349,24,FALSE)="-",#N/A,VLOOKUP($F20,PAY!$A$11:$AE$349,24,FALSE))</f>
        <v>481.3</v>
      </c>
      <c r="T20" s="80">
        <f>IF(VLOOKUP($F20,PAY!$A$11:$AE$349,26,FALSE)="-",#N/A,VLOOKUP($F20,PAY!$A$11:$AE$349,26,FALSE))</f>
        <v>485.3</v>
      </c>
      <c r="U20" s="80">
        <f>IF(VLOOKUP($F20,PAY!$A$11:$AE$349,28,FALSE)="-",#N/A,VLOOKUP($F20,PAY!$A$11:$AE$349,28,FALSE))</f>
        <v>527.6</v>
      </c>
      <c r="V20" s="80">
        <f>IF(VLOOKUP($F20,PAY!$A$11:$AE$349,30,FALSE)="-",#N/A,VLOOKUP($F20,PAY!$A$11:$AE$349,30,FALSE))</f>
        <v>512.5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North Norfolk to Rural as a Region</v>
      </c>
      <c r="G23" s="122"/>
      <c r="H23" s="123"/>
      <c r="I23" s="74">
        <f>100*((I20-I21)/I21)</f>
        <v>-18.54360587492399</v>
      </c>
      <c r="J23" s="74">
        <f t="shared" ref="J23:V23" si="2">100*((J20-J21)/J21)</f>
        <v>-9.6641299994278249</v>
      </c>
      <c r="K23" s="74">
        <f t="shared" si="2"/>
        <v>-15.802423102237533</v>
      </c>
      <c r="L23" s="74">
        <f t="shared" si="2"/>
        <v>-6.9128915554356931</v>
      </c>
      <c r="M23" s="74">
        <f t="shared" si="2"/>
        <v>-14.50720438658445</v>
      </c>
      <c r="N23" s="74">
        <f t="shared" si="2"/>
        <v>-13.077675687198345</v>
      </c>
      <c r="O23" s="74">
        <f t="shared" si="2"/>
        <v>-14.528921797953403</v>
      </c>
      <c r="P23" s="74">
        <f t="shared" si="2"/>
        <v>-5.1854261028127882</v>
      </c>
      <c r="Q23" s="74">
        <f t="shared" si="2"/>
        <v>0.24877744762612722</v>
      </c>
      <c r="R23" s="74">
        <f t="shared" si="2"/>
        <v>-8.9190241207417955</v>
      </c>
      <c r="S23" s="74">
        <f t="shared" si="2"/>
        <v>-6.4393391634998913</v>
      </c>
      <c r="T23" s="74">
        <f t="shared" si="2"/>
        <v>-9.0685623913969557</v>
      </c>
      <c r="U23" s="74">
        <f t="shared" si="2"/>
        <v>-0.64931823853706283</v>
      </c>
      <c r="V23" s="74">
        <f t="shared" si="2"/>
        <v>-9.1721453416494185</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North Norfolk</v>
      </c>
      <c r="G28" s="88"/>
      <c r="H28" s="89"/>
      <c r="I28" s="76">
        <f>VLOOKUP($F28,EMPLOYMENT!$A$6:$BW$345,6,FALSE)</f>
        <v>71.900000000000006</v>
      </c>
      <c r="J28" s="77">
        <f>VLOOKUP($F28,EMPLOYMENT!$A$6:$BW$345,10,FALSE)</f>
        <v>69.8</v>
      </c>
      <c r="K28" s="77">
        <f>VLOOKUP($F28,EMPLOYMENT!$A$6:$BW$345,14,FALSE)</f>
        <v>73.5</v>
      </c>
      <c r="L28" s="77">
        <f>VLOOKUP($F28,EMPLOYMENT!$A$6:$BW$345,18,FALSE)</f>
        <v>74.3</v>
      </c>
      <c r="M28" s="77">
        <f>VLOOKUP($F28,EMPLOYMENT!$A$6:$BW$345,22,FALSE)</f>
        <v>65.7</v>
      </c>
      <c r="N28" s="77">
        <f>VLOOKUP($F28,EMPLOYMENT!$A$6:$BW$345,26,FALSE)</f>
        <v>73</v>
      </c>
      <c r="O28" s="77">
        <f>VLOOKUP($F28,EMPLOYMENT!$A$6:$BW$345,30,FALSE)</f>
        <v>71.5</v>
      </c>
      <c r="P28" s="77">
        <f>VLOOKUP($F28,EMPLOYMENT!$A$6:$BW$345,34,FALSE)</f>
        <v>74.3</v>
      </c>
      <c r="Q28" s="77">
        <f>VLOOKUP($F28,EMPLOYMENT!$A$6:$BW$345,38,FALSE)</f>
        <v>75.400000000000006</v>
      </c>
      <c r="R28" s="77">
        <f>VLOOKUP($F28,EMPLOYMENT!$A$6:$BW$345,42,FALSE)</f>
        <v>74.2</v>
      </c>
      <c r="S28" s="77">
        <f>VLOOKUP($F28,EMPLOYMENT!$A$6:$BW$345,46,FALSE)</f>
        <v>73</v>
      </c>
      <c r="T28" s="77">
        <f>VLOOKUP($F28,EMPLOYMENT!$A$6:$BW$345,50,FALSE)</f>
        <v>71.099999999999994</v>
      </c>
      <c r="U28" s="77">
        <f>VLOOKUP($F28,EMPLOYMENT!$A$6:$BW$345,54,FALSE)</f>
        <v>65.7</v>
      </c>
      <c r="V28" s="77">
        <f>VLOOKUP($F28,EMPLOYMENT!$A$6:$BW$345,58,FALSE)</f>
        <v>80</v>
      </c>
      <c r="W28" s="77">
        <f>VLOOKUP($F28,EMPLOYMENT!$A$6:$BW$345,62,FALSE)</f>
        <v>80.900000000000006</v>
      </c>
      <c r="X28" s="77">
        <f>VLOOKUP($F28,EMPLOYMENT!$A$6:$BW$345,66,FALSE)</f>
        <v>73.3</v>
      </c>
      <c r="Y28" s="77">
        <f>VLOOKUP($F28,EMPLOYMENT!$A$6:$BW$345,70,FALSE)</f>
        <v>72.5</v>
      </c>
      <c r="Z28" s="77">
        <f>VLOOKUP($F28,EMPLOYMENT!$A$6:$BW$345,74,FALSE)</f>
        <v>76</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North Norfolk to Rural as a Region</v>
      </c>
      <c r="G31" s="122"/>
      <c r="H31" s="123"/>
      <c r="I31" s="74">
        <f>(I28-I29)</f>
        <v>-4.2113419194017325</v>
      </c>
      <c r="J31" s="74">
        <f t="shared" ref="J31:Z31" si="4">(J28-J29)</f>
        <v>-6.5129754666829598</v>
      </c>
      <c r="K31" s="74">
        <f t="shared" si="4"/>
        <v>-2.3731888994867631</v>
      </c>
      <c r="L31" s="74">
        <f t="shared" si="4"/>
        <v>-1.3404683026278406</v>
      </c>
      <c r="M31" s="74">
        <f t="shared" si="4"/>
        <v>-10.035524373331739</v>
      </c>
      <c r="N31" s="74">
        <f t="shared" si="4"/>
        <v>-1.5095398428731812</v>
      </c>
      <c r="O31" s="74">
        <f t="shared" si="4"/>
        <v>-2.047133138969869</v>
      </c>
      <c r="P31" s="74">
        <f t="shared" si="4"/>
        <v>0.56570459672238371</v>
      </c>
      <c r="Q31" s="74">
        <f t="shared" si="4"/>
        <v>1.3668425245374323</v>
      </c>
      <c r="R31" s="74">
        <f t="shared" si="4"/>
        <v>-0.54447492990020407</v>
      </c>
      <c r="S31" s="74">
        <f t="shared" si="4"/>
        <v>-3.1088603400756085</v>
      </c>
      <c r="T31" s="74">
        <f t="shared" si="4"/>
        <v>-6.090531975609025</v>
      </c>
      <c r="U31" s="74">
        <f t="shared" si="4"/>
        <v>-11.271632481708039</v>
      </c>
      <c r="V31" s="74">
        <f t="shared" si="4"/>
        <v>1.9672131147541023</v>
      </c>
      <c r="W31" s="74">
        <f t="shared" si="4"/>
        <v>2.8518431065858607</v>
      </c>
      <c r="X31" s="74">
        <f t="shared" si="4"/>
        <v>-5.2912993789567082</v>
      </c>
      <c r="Y31" s="74">
        <f t="shared" si="4"/>
        <v>-4.5143462961292045</v>
      </c>
      <c r="Z31" s="74">
        <f t="shared" si="4"/>
        <v>-0.15575807787904239</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North Norfolk</v>
      </c>
      <c r="G36" s="88" t="str">
        <f>IFERROR(VLOOKUP(F36,GDHI!B338:C574,2,FALSE),VLOOKUP(F36,GDHI!C3:C336,1,FALSE))</f>
        <v>North Norfolk</v>
      </c>
      <c r="H36" s="89" t="str">
        <f>IF(F36=G36,"",G36)</f>
        <v/>
      </c>
      <c r="I36" s="83">
        <f>IFERROR(VLOOKUP($F36,GDHI!$B$338:$U$574,GDHI!G$578,FALSE),VLOOKUP($F36,GDHI!$C$3:$U$336,GDHI!F$578,FALSE))</f>
        <v>12655</v>
      </c>
      <c r="J36" s="84">
        <f>IFERROR(VLOOKUP($F36,GDHI!$B$338:$U$574,GDHI!H$578,FALSE),VLOOKUP($F36,GDHI!$C$3:$U$336,GDHI!G$578,FALSE))</f>
        <v>13279</v>
      </c>
      <c r="K36" s="84">
        <f>IFERROR(VLOOKUP($F36,GDHI!$B$338:$U$574,GDHI!I$578,FALSE),VLOOKUP($F36,GDHI!$C$3:$U$336,GDHI!H$578,FALSE))</f>
        <v>13405</v>
      </c>
      <c r="L36" s="84">
        <f>IFERROR(VLOOKUP($F36,GDHI!$B$338:$U$574,GDHI!J$578,FALSE),VLOOKUP($F36,GDHI!$C$3:$U$336,GDHI!I$578,FALSE))</f>
        <v>14230</v>
      </c>
      <c r="M36" s="84">
        <f>IFERROR(VLOOKUP($F36,GDHI!$B$338:$U$574,GDHI!K$578,FALSE),VLOOKUP($F36,GDHI!$C$3:$U$336,GDHI!J$578,FALSE))</f>
        <v>15007</v>
      </c>
      <c r="N36" s="84">
        <f>IFERROR(VLOOKUP($F36,GDHI!$B$338:$U$574,GDHI!L$578,FALSE),VLOOKUP($F36,GDHI!$C$3:$U$336,GDHI!K$578,FALSE))</f>
        <v>15263</v>
      </c>
      <c r="O36" s="84">
        <f>IFERROR(VLOOKUP($F36,GDHI!$B$338:$U$574,GDHI!M$578,FALSE),VLOOKUP($F36,GDHI!$C$3:$U$336,GDHI!L$578,FALSE))</f>
        <v>15910</v>
      </c>
      <c r="P36" s="84">
        <f>IFERROR(VLOOKUP($F36,GDHI!$B$338:$U$574,GDHI!N$578,FALSE),VLOOKUP($F36,GDHI!$C$3:$U$336,GDHI!M$578,FALSE))</f>
        <v>16243</v>
      </c>
      <c r="Q36" s="84">
        <f>IFERROR(VLOOKUP($F36,GDHI!$B$338:$U$574,GDHI!O$578,FALSE),VLOOKUP($F36,GDHI!$C$3:$U$336,GDHI!N$578,FALSE))</f>
        <v>16779</v>
      </c>
      <c r="R36" s="84">
        <f>IFERROR(VLOOKUP($F36,GDHI!$B$338:$U$574,GDHI!P$578,FALSE),VLOOKUP($F36,GDHI!$C$3:$U$336,GDHI!O$578,FALSE))</f>
        <v>17140</v>
      </c>
      <c r="S36" s="84">
        <f>IFERROR(VLOOKUP($F36,GDHI!$B$338:$U$574,GDHI!Q$578,FALSE),VLOOKUP($F36,GDHI!$C$3:$U$336,GDHI!P$578,FALSE))</f>
        <v>17580</v>
      </c>
      <c r="T36" s="84">
        <f>IFERROR(VLOOKUP($F36,GDHI!$B$338:$U$574,GDHI!R$578,FALSE),VLOOKUP($F36,GDHI!$C$3:$U$336,GDHI!Q$578,FALSE))</f>
        <v>18421</v>
      </c>
      <c r="U36" s="84">
        <f>IFERROR(VLOOKUP($F36,GDHI!$B$338:$U$574,GDHI!S$578,FALSE),VLOOKUP($F36,GDHI!$C$3:$U$336,GDHI!R$578,FALSE))</f>
        <v>18547</v>
      </c>
      <c r="V36" s="84">
        <f>IFERROR(VLOOKUP($F36,GDHI!$B$338:$U$574,GDHI!T$578,FALSE),VLOOKUP($F36,GDHI!$C$3:$U$336,GDHI!S$578,FALSE))</f>
        <v>18904</v>
      </c>
      <c r="W36" s="84">
        <f>IFERROR(VLOOKUP($F36,GDHI!$B$338:$U$574,GDHI!U$578,FALSE),VLOOKUP($F36,GDHI!$C$3:$U$336,GDHI!T$578,FALSE))</f>
        <v>19909</v>
      </c>
      <c r="X36" s="84">
        <f>IFERROR(VLOOKUP($F36,GDHI!$B$338:$U$574,GDHI!V$578,FALSE),VLOOKUP($F36,GDHI!$C$3:$U$336,GDHI!U$578,FALSE))</f>
        <v>20466</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North Norfolk to Rural as a Region</v>
      </c>
      <c r="G39" s="122"/>
      <c r="H39" s="123"/>
      <c r="I39" s="74">
        <f>100*((I36-I37)/I37)</f>
        <v>-13.967164077636902</v>
      </c>
      <c r="J39" s="74">
        <f t="shared" ref="J39:X39" si="6">100*((J36-J37)/J37)</f>
        <v>-13.443590772270255</v>
      </c>
      <c r="K39" s="74">
        <f t="shared" si="6"/>
        <v>-15.819833720958915</v>
      </c>
      <c r="L39" s="74">
        <f t="shared" si="6"/>
        <v>-14.112466022431128</v>
      </c>
      <c r="M39" s="74">
        <f t="shared" si="6"/>
        <v>-12.051365951708014</v>
      </c>
      <c r="N39" s="74">
        <f t="shared" si="6"/>
        <v>-11.738428547333935</v>
      </c>
      <c r="O39" s="74">
        <f t="shared" si="6"/>
        <v>-9.1268235798091411</v>
      </c>
      <c r="P39" s="74">
        <f t="shared" si="6"/>
        <v>-8.7474351325972872</v>
      </c>
      <c r="Q39" s="74">
        <f t="shared" si="6"/>
        <v>-8.6427435256233167</v>
      </c>
      <c r="R39" s="74">
        <f t="shared" si="6"/>
        <v>-9.1869553068573424</v>
      </c>
      <c r="S39" s="74">
        <f t="shared" si="6"/>
        <v>-9.3629220993244182</v>
      </c>
      <c r="T39" s="74">
        <f t="shared" si="6"/>
        <v>-9.9585569292325449</v>
      </c>
      <c r="U39" s="74">
        <f t="shared" si="6"/>
        <v>-10.074736275838509</v>
      </c>
      <c r="V39" s="74">
        <f t="shared" si="6"/>
        <v>-9.8327693868778674</v>
      </c>
      <c r="W39" s="74">
        <f t="shared" si="6"/>
        <v>-8.8494253612816856</v>
      </c>
      <c r="X39" s="74">
        <f t="shared" si="6"/>
        <v>-8.0804867316020044</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North Norfolk</v>
      </c>
      <c r="G44" s="88"/>
      <c r="H44" s="89"/>
      <c r="I44" s="76">
        <f>VLOOKUP($F44,'LOW PAID'!$A$9:$N$444,6,FALSE)</f>
        <v>32.5</v>
      </c>
      <c r="J44" s="77">
        <f>VLOOKUP($F44,'LOW PAID'!$P$9:$W$444,6,FALSE)</f>
        <v>30.7</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North Norfolk to Rural as a Region</v>
      </c>
      <c r="G47" s="122"/>
      <c r="H47" s="123"/>
      <c r="I47" s="74">
        <f>(I44-I45)</f>
        <v>7.3061253217868831</v>
      </c>
      <c r="J47" s="74">
        <f>(J44-J45)</f>
        <v>5.0138834909699455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North Norfolk</v>
      </c>
      <c r="G52" s="88"/>
      <c r="H52" s="89"/>
      <c r="I52" s="76">
        <f>VLOOKUP($F52,INACTIVITY!$A$6:$BW$345,6,FALSE)</f>
        <v>25.6</v>
      </c>
      <c r="J52" s="77">
        <f>VLOOKUP($F52,INACTIVITY!$A$6:$BW$345,10,FALSE)</f>
        <v>27.4</v>
      </c>
      <c r="K52" s="77">
        <f>VLOOKUP($F52,INACTIVITY!$A$6:$BW$345,14,FALSE)</f>
        <v>24.6</v>
      </c>
      <c r="L52" s="77">
        <f>VLOOKUP($F52,INACTIVITY!$A$6:$BW$345,18,FALSE)</f>
        <v>23.2</v>
      </c>
      <c r="M52" s="77">
        <f>VLOOKUP($F52,INACTIVITY!$A$6:$BW$345,22,FALSE)</f>
        <v>28.8</v>
      </c>
      <c r="N52" s="77">
        <f>VLOOKUP($F52,INACTIVITY!$A$6:$BW$345,26,FALSE)</f>
        <v>23.4</v>
      </c>
      <c r="O52" s="77">
        <f>VLOOKUP($F52,INACTIVITY!$A$6:$BW$345,30,FALSE)</f>
        <v>27.2</v>
      </c>
      <c r="P52" s="77">
        <f>VLOOKUP($F52,INACTIVITY!$A$6:$BW$345,34,FALSE)</f>
        <v>19.100000000000001</v>
      </c>
      <c r="Q52" s="77">
        <f>VLOOKUP($F52,INACTIVITY!$A$6:$BW$345,38,FALSE)</f>
        <v>23.1</v>
      </c>
      <c r="R52" s="77">
        <f>VLOOKUP($F52,INACTIVITY!$A$6:$BW$345,42,FALSE)</f>
        <v>23.4</v>
      </c>
      <c r="S52" s="77">
        <f>VLOOKUP($F52,INACTIVITY!$A$6:$BW$345,46,FALSE)</f>
        <v>23.9</v>
      </c>
      <c r="T52" s="77">
        <f>VLOOKUP($F52,INACTIVITY!$A$6:$BW$345,50,FALSE)</f>
        <v>27.4</v>
      </c>
      <c r="U52" s="77">
        <f>VLOOKUP($F52,INACTIVITY!$A$6:$BW$345,54,FALSE)</f>
        <v>31.5</v>
      </c>
      <c r="V52" s="77">
        <f>VLOOKUP($F52,INACTIVITY!$A$6:$BW$345,58,FALSE)</f>
        <v>18.899999999999999</v>
      </c>
      <c r="W52" s="77">
        <f>VLOOKUP($F52,INACTIVITY!$A$6:$BW$345,62,FALSE)</f>
        <v>18.5</v>
      </c>
      <c r="X52" s="77">
        <f>VLOOKUP($F52,INACTIVITY!$A$6:$BW$345,66,FALSE)</f>
        <v>22.7</v>
      </c>
      <c r="Y52" s="77">
        <f>VLOOKUP($F52,INACTIVITY!$A$6:$BW$345,70,FALSE)</f>
        <v>21.8</v>
      </c>
      <c r="Z52" s="77">
        <f>VLOOKUP($F52,INACTIVITY!$A$6:$BW$345,74,FALSE)</f>
        <v>21.4</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North Norfolk to Rural as a Region</v>
      </c>
      <c r="G55" s="122"/>
      <c r="H55" s="123"/>
      <c r="I55" s="74">
        <f>(I52-I53)</f>
        <v>4.2043554283897642</v>
      </c>
      <c r="J55" s="74">
        <f t="shared" ref="J55:Z55" si="10">(J52-J53)</f>
        <v>6.391477272727272</v>
      </c>
      <c r="K55" s="74">
        <f t="shared" si="10"/>
        <v>3.7375346065412245</v>
      </c>
      <c r="L55" s="74">
        <f t="shared" si="10"/>
        <v>1.88593466846336</v>
      </c>
      <c r="M55" s="74">
        <f t="shared" si="10"/>
        <v>7.9649976891079959</v>
      </c>
      <c r="N55" s="74">
        <f t="shared" si="10"/>
        <v>2.4668562420795581</v>
      </c>
      <c r="O55" s="74">
        <f t="shared" si="10"/>
        <v>5.5080628724948255</v>
      </c>
      <c r="P55" s="74">
        <f t="shared" si="10"/>
        <v>-2.3942457807534474</v>
      </c>
      <c r="Q55" s="74">
        <f t="shared" si="10"/>
        <v>1.9174512055109076</v>
      </c>
      <c r="R55" s="74">
        <f t="shared" si="10"/>
        <v>2.6254069025612274</v>
      </c>
      <c r="S55" s="74">
        <f t="shared" si="10"/>
        <v>3.6267895440275986</v>
      </c>
      <c r="T55" s="74">
        <f t="shared" si="10"/>
        <v>7.7038053165930407</v>
      </c>
      <c r="U55" s="74">
        <f t="shared" si="10"/>
        <v>11.647570652930529</v>
      </c>
      <c r="V55" s="74">
        <f t="shared" si="10"/>
        <v>-0.35327733428037789</v>
      </c>
      <c r="W55" s="74">
        <f t="shared" si="10"/>
        <v>-0.67695600918284882</v>
      </c>
      <c r="X55" s="74">
        <f t="shared" si="10"/>
        <v>3.8479350506350691</v>
      </c>
      <c r="Y55" s="74">
        <f t="shared" si="10"/>
        <v>2.0274172781285387</v>
      </c>
      <c r="Z55" s="74">
        <f t="shared" si="10"/>
        <v>0.31482022436992807</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North Norfolk</v>
      </c>
      <c r="G60" s="88"/>
      <c r="H60" s="89"/>
      <c r="I60" s="76">
        <f>VLOOKUP($F60,DISABILITY!$A$718:$I$1052,DISABILITY!B$1053,FALSE)</f>
        <v>33.300000000000004</v>
      </c>
      <c r="J60" s="77">
        <f>VLOOKUP($F60,DISABILITY!$A$718:$I$1052,DISABILITY!C$1053,FALSE)</f>
        <v>35.600000000000009</v>
      </c>
      <c r="K60" s="77">
        <f>VLOOKUP($F60,DISABILITY!$A$718:$I$1052,DISABILITY!D$1053,FALSE)</f>
        <v>47.4</v>
      </c>
      <c r="L60" s="77">
        <f>VLOOKUP($F60,DISABILITY!$A$718:$I$1052,DISABILITY!E$1053,FALSE)</f>
        <v>19</v>
      </c>
      <c r="M60" s="77">
        <f>VLOOKUP($F60,DISABILITY!$A$718:$I$1052,DISABILITY!F$1053,FALSE)</f>
        <v>30.5</v>
      </c>
      <c r="N60" s="77">
        <f>VLOOKUP($F60,DISABILITY!$A$718:$I$1052,DISABILITY!G$1053,FALSE)</f>
        <v>-13</v>
      </c>
      <c r="O60" s="77">
        <f>VLOOKUP($F60,DISABILITY!$A$718:$I$1052,DISABILITY!H$1053,FALSE)</f>
        <v>29.099999999999994</v>
      </c>
      <c r="P60" s="77">
        <f>VLOOKUP($F60,DISABILITY!$A$718:$I$1052,DISABILITY!I$1053,FALSE)</f>
        <v>2.5999999999999943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North Norfolk to Rural as a Region</v>
      </c>
      <c r="G63" s="122"/>
      <c r="H63" s="123"/>
      <c r="I63" s="74">
        <f>(I60-I61)</f>
        <v>5.879843459352756</v>
      </c>
      <c r="J63" s="74">
        <f t="shared" ref="J63:P63" si="12">(J60-J61)</f>
        <v>8.2809555929488212</v>
      </c>
      <c r="K63" s="74">
        <f t="shared" si="12"/>
        <v>19.280871638501793</v>
      </c>
      <c r="L63" s="74">
        <f t="shared" si="12"/>
        <v>-6.9909345389966759</v>
      </c>
      <c r="M63" s="74">
        <f t="shared" si="12"/>
        <v>5.024774181333882</v>
      </c>
      <c r="N63" s="74">
        <f t="shared" si="12"/>
        <v>-38.531247685441983</v>
      </c>
      <c r="O63" s="74">
        <f t="shared" si="12"/>
        <v>5.3027777120030493</v>
      </c>
      <c r="P63" s="74">
        <f t="shared" si="12"/>
        <v>-22.754177930342181</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North Norfolk</v>
      </c>
      <c r="G68" s="88"/>
      <c r="H68" s="89"/>
      <c r="I68" s="76">
        <f>VLOOKUP($F68,'WORKLESS HOUSEHOLDS'!$DW$4:$EC$397,7,FALSE)</f>
        <v>13.683846152745852</v>
      </c>
      <c r="J68" s="77">
        <f>VLOOKUP($F68,'WORKLESS HOUSEHOLDS'!$DN$4:$DT$397,7,FALSE)</f>
        <v>11.675445231959664</v>
      </c>
      <c r="K68" s="77">
        <f>VLOOKUP($F68,'WORKLESS HOUSEHOLDS'!$DE$4:$DK$397,7,FALSE)</f>
        <v>20.407770416593145</v>
      </c>
      <c r="L68" s="77">
        <f>VLOOKUP($F68,'WORKLESS HOUSEHOLDS'!$CV$4:$DB$397,7,FALSE)</f>
        <v>9.4561030052808892</v>
      </c>
      <c r="M68" s="77">
        <f>VLOOKUP($F68,'WORKLESS HOUSEHOLDS'!$CM$4:$CS$397,7,FALSE)</f>
        <v>8.2503705104176515</v>
      </c>
      <c r="N68" s="77">
        <f>VLOOKUP($F68,'WORKLESS HOUSEHOLDS'!$CD$4:$CJ$397,7,FALSE)</f>
        <v>23.279674509110208</v>
      </c>
      <c r="O68" s="77">
        <f>VLOOKUP($F68,'WORKLESS HOUSEHOLDS'!$BU$4:$CA$397,7,FALSE)</f>
        <v>6.4011507686775149</v>
      </c>
      <c r="P68" s="77" t="str">
        <f>VLOOKUP($F68,'WORKLESS HOUSEHOLDS'!$BL$4:$BR$397,7,FALSE)</f>
        <v>#</v>
      </c>
      <c r="Q68" s="77" t="str">
        <f>VLOOKUP($F68,'WORKLESS HOUSEHOLDS'!$BC$4:$BI$397,7,FALSE)</f>
        <v>#</v>
      </c>
      <c r="R68" s="77" t="str">
        <f>VLOOKUP($F68,'WORKLESS HOUSEHOLDS'!$AT$4:$AZ$397,7,FALSE)</f>
        <v>#</v>
      </c>
      <c r="S68" s="77" t="str">
        <f>VLOOKUP($F68,'WORKLESS HOUSEHOLDS'!$AK$4:$AQ$397,7,FALSE)</f>
        <v>#</v>
      </c>
      <c r="T68" s="77" t="str">
        <f>VLOOKUP($F68,'WORKLESS HOUSEHOLDS'!$AB$4:$AH$397,7,FALSE)</f>
        <v>#</v>
      </c>
      <c r="U68" s="77">
        <f>VLOOKUP($F68,'WORKLESS HOUSEHOLDS'!$S$4:$Y$397,7,FALSE)</f>
        <v>17.654953635919963</v>
      </c>
      <c r="V68" s="77">
        <f>VLOOKUP($F68,'WORKLESS HOUSEHOLDS'!$J$4:$P$397,7,FALSE)</f>
        <v>17.820962089837529</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North Norfolk to Rural as a Region</v>
      </c>
      <c r="G71" s="122"/>
      <c r="H71" s="123"/>
      <c r="I71" s="74">
        <f>(I68-I69)</f>
        <v>3.6719002901591615</v>
      </c>
      <c r="J71" s="74">
        <f t="shared" ref="J71:W71" si="14">(J68-J69)</f>
        <v>0.76429039448463953</v>
      </c>
      <c r="K71" s="74">
        <f t="shared" si="14"/>
        <v>10.114524687437301</v>
      </c>
      <c r="L71" s="74">
        <f t="shared" si="14"/>
        <v>-1.5099036560488432</v>
      </c>
      <c r="M71" s="74">
        <f t="shared" si="14"/>
        <v>-3.4434086707708218</v>
      </c>
      <c r="N71" s="74">
        <f t="shared" si="14"/>
        <v>11.378574829854827</v>
      </c>
      <c r="O71" s="74">
        <f t="shared" si="14"/>
        <v>-4.6341024790649969</v>
      </c>
      <c r="P71" s="74" t="e">
        <f t="shared" si="14"/>
        <v>#VALUE!</v>
      </c>
      <c r="Q71" s="74" t="e">
        <f t="shared" si="14"/>
        <v>#VALUE!</v>
      </c>
      <c r="R71" s="74" t="e">
        <f t="shared" si="14"/>
        <v>#VALUE!</v>
      </c>
      <c r="S71" s="74" t="e">
        <f t="shared" si="14"/>
        <v>#VALUE!</v>
      </c>
      <c r="T71" s="74" t="e">
        <f t="shared" si="14"/>
        <v>#VALUE!</v>
      </c>
      <c r="U71" s="74">
        <f t="shared" si="14"/>
        <v>6.8929034712404871</v>
      </c>
      <c r="V71" s="74">
        <f t="shared" si="14"/>
        <v>7.8820936132978812</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North Norfolk</v>
      </c>
      <c r="G76" s="88"/>
      <c r="H76" s="89"/>
      <c r="I76" s="76">
        <f>VLOOKUP($F76,'SKILLED EMPLOYMENT'!$A$1506:$BW$1841,6,FALSE)</f>
        <v>44.8</v>
      </c>
      <c r="J76" s="77">
        <f>VLOOKUP($F76,'SKILLED EMPLOYMENT'!$A$1506:$BW$1841,10,FALSE)</f>
        <v>49.1</v>
      </c>
      <c r="K76" s="77">
        <f>VLOOKUP($F76,'SKILLED EMPLOYMENT'!$A$1506:$BW$1841,14,FALSE)</f>
        <v>45.6</v>
      </c>
      <c r="L76" s="77">
        <f>VLOOKUP($F76,'SKILLED EMPLOYMENT'!$A$1506:$BW$1841,18,FALSE)</f>
        <v>50.000000000000007</v>
      </c>
      <c r="M76" s="77">
        <f>VLOOKUP($F76,'SKILLED EMPLOYMENT'!$A$1506:$BW$1841,22,FALSE)</f>
        <v>50.8</v>
      </c>
      <c r="N76" s="77">
        <f>VLOOKUP($F76,'SKILLED EMPLOYMENT'!$A$1506:$BW$1841,26,FALSE)</f>
        <v>50.9</v>
      </c>
      <c r="O76" s="77">
        <f>VLOOKUP($F76,'SKILLED EMPLOYMENT'!$A$1506:$BW$1841,30,FALSE)</f>
        <v>57.5</v>
      </c>
      <c r="P76" s="77">
        <f>VLOOKUP($F76,'SKILLED EMPLOYMENT'!$A$1506:$BW$1841,34,FALSE)</f>
        <v>51.3</v>
      </c>
      <c r="Q76" s="77">
        <f>VLOOKUP($F76,'SKILLED EMPLOYMENT'!$A$1506:$BW$1841,38,FALSE)</f>
        <v>56.599999999999994</v>
      </c>
      <c r="R76" s="77">
        <f>VLOOKUP($F76,'SKILLED EMPLOYMENT'!$A$1506:$BW$1841,42,FALSE)</f>
        <v>53.4</v>
      </c>
      <c r="S76" s="77">
        <f>VLOOKUP($F76,'SKILLED EMPLOYMENT'!$A$1506:$BW$1841,46,FALSE)</f>
        <v>42.5</v>
      </c>
      <c r="T76" s="77">
        <f>VLOOKUP($F76,'SKILLED EMPLOYMENT'!$A$1506:$BW$1841,50,FALSE)</f>
        <v>44.2</v>
      </c>
      <c r="U76" s="77">
        <f>VLOOKUP($F76,'SKILLED EMPLOYMENT'!$A$1506:$BW$1841,54,FALSE)</f>
        <v>63.7</v>
      </c>
      <c r="V76" s="77">
        <f>VLOOKUP($F76,'SKILLED EMPLOYMENT'!$A$1506:$BW$1841,58,FALSE)</f>
        <v>51.9</v>
      </c>
      <c r="W76" s="77">
        <f>VLOOKUP($F76,'SKILLED EMPLOYMENT'!$A$1506:$BW$1841,62,FALSE)</f>
        <v>51.2</v>
      </c>
      <c r="X76" s="77">
        <f>VLOOKUP($F76,'SKILLED EMPLOYMENT'!$A$1506:$BW$1841,66,FALSE)</f>
        <v>55.3</v>
      </c>
      <c r="Y76" s="77">
        <f>VLOOKUP($F76,'SKILLED EMPLOYMENT'!$A$1506:$BW$1841,70,FALSE)</f>
        <v>49.899999999999991</v>
      </c>
      <c r="Z76" s="77">
        <f>VLOOKUP($F76,'SKILLED EMPLOYMENT'!$A$1506:$BW$1841,74,FALSE)</f>
        <v>58.7</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North Norfolk to Rural as a Region</v>
      </c>
      <c r="G79" s="122"/>
      <c r="H79" s="123"/>
      <c r="I79" s="74">
        <f>(I76-I77)</f>
        <v>-7.9000000000000057</v>
      </c>
      <c r="J79" s="74">
        <f t="shared" ref="J79:Z79" si="17">(J76-J77)</f>
        <v>-3.7999999999999972</v>
      </c>
      <c r="K79" s="74">
        <f t="shared" si="17"/>
        <v>-7.8999999999999986</v>
      </c>
      <c r="L79" s="74">
        <f t="shared" si="17"/>
        <v>-3.9999999999999929</v>
      </c>
      <c r="M79" s="74">
        <f t="shared" si="17"/>
        <v>-3.3000000000000043</v>
      </c>
      <c r="N79" s="74">
        <f t="shared" si="17"/>
        <v>-3.5</v>
      </c>
      <c r="O79" s="74">
        <f t="shared" si="17"/>
        <v>2.1000000000000014</v>
      </c>
      <c r="P79" s="74">
        <f t="shared" si="17"/>
        <v>-4.3000000000000043</v>
      </c>
      <c r="Q79" s="74">
        <f t="shared" si="17"/>
        <v>1.1999999999999957</v>
      </c>
      <c r="R79" s="74">
        <f t="shared" si="17"/>
        <v>-2.8000000000000043</v>
      </c>
      <c r="S79" s="74">
        <f t="shared" si="17"/>
        <v>-13.700000000000003</v>
      </c>
      <c r="T79" s="74">
        <f t="shared" si="17"/>
        <v>-12.599999999999994</v>
      </c>
      <c r="U79" s="74">
        <f t="shared" si="17"/>
        <v>7.1000000000000014</v>
      </c>
      <c r="V79" s="74">
        <f t="shared" si="17"/>
        <v>-5.2000000000000028</v>
      </c>
      <c r="W79" s="74">
        <f t="shared" si="17"/>
        <v>-6.5999999999999943</v>
      </c>
      <c r="X79" s="74">
        <f t="shared" si="17"/>
        <v>-3.5</v>
      </c>
      <c r="Y79" s="74">
        <f t="shared" si="17"/>
        <v>-8.8000000000000114</v>
      </c>
      <c r="Z79" s="74">
        <f t="shared" si="17"/>
        <v>0.30000000000000426</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6F4AYgXwfVzzQ8oJqGbji2doa/mtDXuinRg9D5ptBzvB0LxTYBLIGDsBWw/cT6kQpDzyxeDcNHdi0p+6q01yLQ==" saltValue="BOebWq+l+OMolQfgpI7cm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2022-08-02T11:35:06Z</dcterms:modified>
</cp:coreProperties>
</file>