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2" documentId="8_{1BF23219-20C0-4354-B269-D32A3E04EB78}" xr6:coauthVersionLast="47" xr6:coauthVersionMax="47" xr10:uidLastSave="{54A92340-C41B-4110-88E5-D1109A190A0C}"/>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<sst xmlns="http://schemas.openxmlformats.org/spreadsheetml/2006/main" count="32859" uniqueCount="1676">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</sst>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23.29</c:v>
                </c:pt>
                <c:pt idx="1">
                  <c:v>23.32</c:v>
                </c:pt>
                <c:pt idx="2">
                  <c:v>23.66</c:v>
                </c:pt>
                <c:pt idx="3">
                  <c:v>24.18</c:v>
                </c:pt>
                <c:pt idx="4">
                  <c:v>24.66</c:v>
                </c:pt>
                <c:pt idx="5">
                  <c:v>24.87</c:v>
                </c:pt>
                <c:pt idx="6">
                  <c:v>25.1</c:v>
                </c:pt>
                <c:pt idx="7">
                  <c:v>25.53</c:v>
                </c:pt>
                <c:pt idx="8">
                  <c:v>26.56</c:v>
                </c:pt>
                <c:pt idx="9">
                  <c:v>27.81</c:v>
                </c:pt>
                <c:pt idx="10">
                  <c:v>28.79</c:v>
                </c:pt>
                <c:pt idx="11">
                  <c:v>29.22</c:v>
                </c:pt>
                <c:pt idx="12">
                  <c:v>29.25</c:v>
                </c:pt>
                <c:pt idx="13">
                  <c:v>29.61</c:v>
                </c:pt>
                <c:pt idx="14">
                  <c:v>30.11</c:v>
                </c:pt>
                <c:pt idx="15">
                  <c:v>30.58</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480.4</c:v>
                </c:pt>
                <c:pt idx="1">
                  <c:v>465.1</c:v>
                </c:pt>
                <c:pt idx="2">
                  <c:v>508.4</c:v>
                </c:pt>
                <c:pt idx="3">
                  <c:v>498.3</c:v>
                </c:pt>
                <c:pt idx="4">
                  <c:v>512</c:v>
                </c:pt>
                <c:pt idx="5">
                  <c:v>522.79999999999995</c:v>
                </c:pt>
                <c:pt idx="6">
                  <c:v>520</c:v>
                </c:pt>
                <c:pt idx="7">
                  <c:v>499</c:v>
                </c:pt>
                <c:pt idx="8">
                  <c:v>520.6</c:v>
                </c:pt>
                <c:pt idx="9">
                  <c:v>503.6</c:v>
                </c:pt>
                <c:pt idx="10">
                  <c:v>497.8</c:v>
                </c:pt>
                <c:pt idx="11">
                  <c:v>526.4</c:v>
                </c:pt>
                <c:pt idx="12">
                  <c:v>545.5</c:v>
                </c:pt>
                <c:pt idx="13">
                  <c:v>550.1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75.3</c:v>
                </c:pt>
                <c:pt idx="1">
                  <c:v>76.099999999999994</c:v>
                </c:pt>
                <c:pt idx="2">
                  <c:v>79.7</c:v>
                </c:pt>
                <c:pt idx="3">
                  <c:v>80.7</c:v>
                </c:pt>
                <c:pt idx="4">
                  <c:v>79.7</c:v>
                </c:pt>
                <c:pt idx="5">
                  <c:v>75.599999999999994</c:v>
                </c:pt>
                <c:pt idx="6">
                  <c:v>77.3</c:v>
                </c:pt>
                <c:pt idx="7">
                  <c:v>75.7</c:v>
                </c:pt>
                <c:pt idx="8">
                  <c:v>71.5</c:v>
                </c:pt>
                <c:pt idx="9">
                  <c:v>75.5</c:v>
                </c:pt>
                <c:pt idx="10">
                  <c:v>75.900000000000006</c:v>
                </c:pt>
                <c:pt idx="11">
                  <c:v>78.7</c:v>
                </c:pt>
                <c:pt idx="12">
                  <c:v>79.400000000000006</c:v>
                </c:pt>
                <c:pt idx="13">
                  <c:v>80.5</c:v>
                </c:pt>
                <c:pt idx="14">
                  <c:v>80.599999999999994</c:v>
                </c:pt>
                <c:pt idx="15">
                  <c:v>80.7</c:v>
                </c:pt>
                <c:pt idx="16">
                  <c:v>81.400000000000006</c:v>
                </c:pt>
                <c:pt idx="17">
                  <c:v>81.599999999999994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14600</c:v>
                </c:pt>
                <c:pt idx="1">
                  <c:v>15230</c:v>
                </c:pt>
                <c:pt idx="2">
                  <c:v>16017</c:v>
                </c:pt>
                <c:pt idx="3">
                  <c:v>16594</c:v>
                </c:pt>
                <c:pt idx="4">
                  <c:v>17341</c:v>
                </c:pt>
                <c:pt idx="5">
                  <c:v>17218</c:v>
                </c:pt>
                <c:pt idx="6">
                  <c:v>17412</c:v>
                </c:pt>
                <c:pt idx="7">
                  <c:v>17838</c:v>
                </c:pt>
                <c:pt idx="8">
                  <c:v>18364</c:v>
                </c:pt>
                <c:pt idx="9">
                  <c:v>19105</c:v>
                </c:pt>
                <c:pt idx="10">
                  <c:v>19719</c:v>
                </c:pt>
                <c:pt idx="11">
                  <c:v>21174</c:v>
                </c:pt>
                <c:pt idx="12">
                  <c:v>21179</c:v>
                </c:pt>
                <c:pt idx="13">
                  <c:v>21295</c:v>
                </c:pt>
                <c:pt idx="14">
                  <c:v>22636</c:v>
                </c:pt>
                <c:pt idx="15">
                  <c:v>22878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26</c:v>
                </c:pt>
                <c:pt idx="1">
                  <c:v>24.7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22.4</c:v>
                </c:pt>
                <c:pt idx="1">
                  <c:v>21.8</c:v>
                </c:pt>
                <c:pt idx="2">
                  <c:v>19.399999999999999</c:v>
                </c:pt>
                <c:pt idx="3">
                  <c:v>17.7</c:v>
                </c:pt>
                <c:pt idx="4">
                  <c:v>17.2</c:v>
                </c:pt>
                <c:pt idx="5">
                  <c:v>19.7</c:v>
                </c:pt>
                <c:pt idx="6">
                  <c:v>18.3</c:v>
                </c:pt>
                <c:pt idx="7">
                  <c:v>18.8</c:v>
                </c:pt>
                <c:pt idx="8">
                  <c:v>22.9</c:v>
                </c:pt>
                <c:pt idx="9">
                  <c:v>20.7</c:v>
                </c:pt>
                <c:pt idx="10">
                  <c:v>20.5</c:v>
                </c:pt>
                <c:pt idx="11">
                  <c:v>18.399999999999999</c:v>
                </c:pt>
                <c:pt idx="12">
                  <c:v>17.899999999999999</c:v>
                </c:pt>
                <c:pt idx="13">
                  <c:v>17</c:v>
                </c:pt>
                <c:pt idx="14">
                  <c:v>17.399999999999999</c:v>
                </c:pt>
                <c:pt idx="15">
                  <c:v>16.100000000000001</c:v>
                </c:pt>
                <c:pt idx="16">
                  <c:v>14.7</c:v>
                </c:pt>
                <c:pt idx="17">
                  <c:v>16.2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29.500000000000007</c:v>
                </c:pt>
                <c:pt idx="1">
                  <c:v>23.100000000000009</c:v>
                </c:pt>
                <c:pt idx="2">
                  <c:v>16.900000000000006</c:v>
                </c:pt>
                <c:pt idx="3">
                  <c:v>22.900000000000006</c:v>
                </c:pt>
                <c:pt idx="4">
                  <c:v>27.200000000000003</c:v>
                </c:pt>
                <c:pt idx="5">
                  <c:v>19.700000000000003</c:v>
                </c:pt>
                <c:pt idx="6">
                  <c:v>27.6</c:v>
                </c:pt>
                <c:pt idx="7">
                  <c:v>21.200000000000003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7.5716155888583172</c:v>
                </c:pt>
                <c:pt idx="1">
                  <c:v>6.6171192534721088</c:v>
                </c:pt>
                <c:pt idx="2">
                  <c:v>10.68533648997904</c:v>
                </c:pt>
                <c:pt idx="3">
                  <c:v>8.1794488755152557</c:v>
                </c:pt>
                <c:pt idx="4">
                  <c:v>12.885675933209125</c:v>
                </c:pt>
                <c:pt idx="5">
                  <c:v>7.4989049496276827</c:v>
                </c:pt>
                <c:pt idx="6">
                  <c:v>9.3129676581534842</c:v>
                </c:pt>
                <c:pt idx="7">
                  <c:v>8.0440669620876406</c:v>
                </c:pt>
                <c:pt idx="8">
                  <c:v>10.229679548892861</c:v>
                </c:pt>
                <c:pt idx="9">
                  <c:v>8.0630657634434382</c:v>
                </c:pt>
                <c:pt idx="10">
                  <c:v>4.5759768451519536</c:v>
                </c:pt>
                <c:pt idx="11">
                  <c:v>5.7141321292264688</c:v>
                </c:pt>
                <c:pt idx="12">
                  <c:v>6.7317454119484577</c:v>
                </c:pt>
                <c:pt idx="13">
                  <c:v>7.5358795755224151</c:v>
                </c:pt>
                <c:pt idx="14">
                  <c:v>3.6714891385112982</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c:v>
                </c:pt>
                <c:pt idx="1">
                  <c:v>53.900000000000006</c:v>
                </c:pt>
                <c:pt idx="2">
                  <c:v>53.5</c:v>
                </c:pt>
                <c:pt idx="3">
                  <c:v>54.399999999999991</c:v>
                </c:pt>
                <c:pt idx="4">
                  <c:v>53</c:v>
                </c:pt>
                <c:pt idx="5">
                  <c:v>55.099999999999994</c:v>
                </c:pt>
                <c:pt idx="6">
                  <c:v>54.500000000000007</c:v>
                </c:pt>
                <c:pt idx="7">
                  <c:v>58.7</c:v>
                </c:pt>
                <c:pt idx="8">
                  <c:v>58.3</c:v>
                </c:pt>
                <c:pt idx="9">
                  <c:v>55.099999999999994</c:v>
                </c:pt>
                <c:pt idx="10">
                  <c:v>54.000000000000007</c:v>
                </c:pt>
                <c:pt idx="11">
                  <c:v>57.099999999999994</c:v>
                </c:pt>
                <c:pt idx="12">
                  <c:v>55.099999999999994</c:v>
                </c:pt>
                <c:pt idx="13">
                  <c:v>58.5</c:v>
                </c:pt>
                <c:pt idx="14">
                  <c:v>56.600000000000009</c:v>
                </c:pt>
                <c:pt idx="15">
                  <c:v>56.8</c:v>
                </c:pt>
                <c:pt idx="16">
                  <c:v>58.1</c:v>
                </c:pt>
                <c:pt idx="17">
                  <c:v>61.500000000000007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Somerset follows the rise and fall of the rural and England situations between 2004 and 2021, with it being in general higher.</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for North Somerset increases from 2004 to 2019 at a marginally greater rate than the rural situation, moving it from being in line to with 'Rural as a Region' in 2004 to being greater in 2019.</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With the proportion dropping between 2017 and 2018 for North Somerset, it moved from being above to below the rural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Somerset's economic inactivity rate has followed a vaguely similar trend to 'Rural as a Region' and England, but has been consistently below both.</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Somerset has fluctuated a little over the years but is generally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Somerset has been less stable but has been consistently below both the England and rural average positions.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Somerset has had a proportion of employed people in skilled employment similar to that seen for 'Rural as a Region' and England.</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22</xdr:row>
      <xdr:rowOff>518160</xdr:rowOff>
    </xdr:to>
    <xdr:sp macro="" textlink="">
      <xdr:nvSpPr>
        <xdr:cNvPr id="20" name="TextBox 19">
          <a:extLst>
            <a:ext uri="{FF2B5EF4-FFF2-40B4-BE49-F238E27FC236}">
              <a16:creationId xmlns:a16="http://schemas.microsoft.com/office/drawing/2014/main" id="{AE6A07F1-D075-4A70-9C83-5558FCEC6430}"/>
            </a:ext>
          </a:extLst>
        </xdr:cNvPr>
        <xdr:cNvSpPr txBox="1"/>
      </xdr:nvSpPr>
      <xdr:spPr>
        <a:xfrm>
          <a:off x="617220" y="7536180"/>
          <a:ext cx="6682740" cy="1203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Somerset from 2008 to 2013 is in line with the England situation.  From 2014 to 2018 North Somerset's median full-time pay fails to increase taking it below the rural situation, which it then tracks to 2021.</a:t>
          </a:r>
          <a:endParaRPr lang="en-GB" sz="1100">
            <a:latin typeface="Avenir Next LT Pro" panose="020B0504020202020204" pitchFamily="34" charset="0"/>
          </a:endParaRPr>
        </a:p>
      </xdr:txBody>
    </xdr:sp>
    <xdr:clientData/>
  </xdr:twoCellAnchor>
  <xdr:twoCellAnchor>
    <xdr:from>
      <xdr:col>0</xdr:col>
      <xdr:colOff>556260</xdr:colOff>
      <xdr:row>12</xdr:row>
      <xdr:rowOff>480060</xdr:rowOff>
    </xdr:from>
    <xdr:to>
      <xdr:col>1</xdr:col>
      <xdr:colOff>2537460</xdr:colOff>
      <xdr:row>13</xdr:row>
      <xdr:rowOff>632460</xdr:rowOff>
    </xdr:to>
    <xdr:sp macro="" textlink="">
      <xdr:nvSpPr>
        <xdr:cNvPr id="21" name="TextBox 20">
          <a:extLst>
            <a:ext uri="{FF2B5EF4-FFF2-40B4-BE49-F238E27FC236}">
              <a16:creationId xmlns:a16="http://schemas.microsoft.com/office/drawing/2014/main" id="{42EA89F0-B861-4322-BA67-8FEAC5CD7A55}"/>
            </a:ext>
          </a:extLst>
        </xdr:cNvPr>
        <xdr:cNvSpPr txBox="1"/>
      </xdr:nvSpPr>
      <xdr:spPr>
        <a:xfrm>
          <a:off x="556260" y="34671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Somerset follows closely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205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Somerset</v>
      </c>
      <c r="G12" s="88" t="str">
        <f>IFERROR(VLOOKUP(F12,GVA!B244:B552,1,FALSE),VLOOKUP(F12,GVA!B6:C230,2,FALSE))</f>
        <v>North Somerset</v>
      </c>
      <c r="H12" s="89" t="str">
        <f>IF(F12=G12,"",G12)</f>
        <v/>
      </c>
      <c r="I12" s="76">
        <f>IFERROR(VLOOKUP($F12,GVA!$B$7:$S$230,GVA!D$3,FALSE),VLOOKUP($F12,GVA!$B$244:$T$554,GVA!E$3,FALSE))</f>
        <v>23.29</v>
      </c>
      <c r="J12" s="77">
        <f>IFERROR(VLOOKUP($F12,GVA!$B$7:$S$230,GVA!E$3,FALSE),VLOOKUP($F12,GVA!$B$244:$T$554,GVA!F$3,FALSE))</f>
        <v>23.32</v>
      </c>
      <c r="K12" s="77">
        <f>IFERROR(VLOOKUP($F12,GVA!$B$7:$S$230,GVA!F$3,FALSE),VLOOKUP($F12,GVA!$B$244:$T$554,GVA!G$3,FALSE))</f>
        <v>23.66</v>
      </c>
      <c r="L12" s="77">
        <f>IFERROR(VLOOKUP($F12,GVA!$B$7:$S$230,GVA!G$3,FALSE),VLOOKUP($F12,GVA!$B$244:$T$554,GVA!H$3,FALSE))</f>
        <v>24.18</v>
      </c>
      <c r="M12" s="77">
        <f>IFERROR(VLOOKUP($F12,GVA!$B$7:$S$230,GVA!H$3,FALSE),VLOOKUP($F12,GVA!$B$244:$T$554,GVA!I$3,FALSE))</f>
        <v>24.66</v>
      </c>
      <c r="N12" s="77">
        <f>IFERROR(VLOOKUP($F12,GVA!$B$7:$S$230,GVA!I$3,FALSE),VLOOKUP($F12,GVA!$B$244:$T$554,GVA!J$3,FALSE))</f>
        <v>24.87</v>
      </c>
      <c r="O12" s="77">
        <f>IFERROR(VLOOKUP($F12,GVA!$B$7:$S$230,GVA!J$3,FALSE),VLOOKUP($F12,GVA!$B$244:$T$554,GVA!K$3,FALSE))</f>
        <v>25.1</v>
      </c>
      <c r="P12" s="77">
        <f>IFERROR(VLOOKUP($F12,GVA!$B$7:$S$230,GVA!K$3,FALSE),VLOOKUP($F12,GVA!$B$244:$T$554,GVA!L$3,FALSE))</f>
        <v>25.53</v>
      </c>
      <c r="Q12" s="77">
        <f>IFERROR(VLOOKUP($F12,GVA!$B$7:$S$230,GVA!L$3,FALSE),VLOOKUP($F12,GVA!$B$244:$T$554,GVA!M$3,FALSE))</f>
        <v>26.56</v>
      </c>
      <c r="R12" s="77">
        <f>IFERROR(VLOOKUP($F12,GVA!$B$7:$S$230,GVA!M$3,FALSE),VLOOKUP($F12,GVA!$B$244:$T$554,GVA!N$3,FALSE))</f>
        <v>27.81</v>
      </c>
      <c r="S12" s="77">
        <f>IFERROR(VLOOKUP($F12,GVA!$B$7:$S$230,GVA!N$3,FALSE),VLOOKUP($F12,GVA!$B$244:$T$554,GVA!O$3,FALSE))</f>
        <v>28.79</v>
      </c>
      <c r="T12" s="77">
        <f>IFERROR(VLOOKUP($F12,GVA!$B$7:$S$230,GVA!O$3,FALSE),VLOOKUP($F12,GVA!$B$244:$T$554,GVA!P$3,FALSE))</f>
        <v>29.22</v>
      </c>
      <c r="U12" s="77">
        <f>IFERROR(VLOOKUP($F12,GVA!$B$7:$S$230,GVA!P$3,FALSE),VLOOKUP($F12,GVA!$B$244:$T$554,GVA!Q$3,FALSE))</f>
        <v>29.25</v>
      </c>
      <c r="V12" s="77">
        <f>IFERROR(VLOOKUP($F12,GVA!$B$7:$S$230,GVA!Q$3,FALSE),VLOOKUP($F12,GVA!$B$244:$T$554,GVA!R$3,FALSE))</f>
        <v>29.61</v>
      </c>
      <c r="W12" s="77">
        <f>IFERROR(VLOOKUP($F12,GVA!$B$7:$S$230,GVA!R$3,FALSE),VLOOKUP($F12,GVA!$B$244:$T$554,GVA!S$3,FALSE))</f>
        <v>30.11</v>
      </c>
      <c r="X12" s="77">
        <f>IFERROR(VLOOKUP($F12,GVA!$B$7:$S$230,GVA!S$3,FALSE),VLOOKUP($F12,GVA!$B$244:$T$554,GVA!T$3,FALSE))</f>
        <v>30.58</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Somerset to Rural as a Region</v>
      </c>
      <c r="G15" s="122"/>
      <c r="H15" s="123"/>
      <c r="I15" s="74">
        <f>100*((I12-I13)/I13)</f>
        <v>-1.0625224414246777</v>
      </c>
      <c r="J15" s="74">
        <f t="shared" ref="J15:X15" si="0">100*((J12-J13)/J13)</f>
        <v>-0.65926932673387983</v>
      </c>
      <c r="K15" s="74">
        <f t="shared" si="0"/>
        <v>-2.6494834756286281</v>
      </c>
      <c r="L15" s="74">
        <f t="shared" si="0"/>
        <v>-2.651406223040226</v>
      </c>
      <c r="M15" s="74">
        <f t="shared" si="0"/>
        <v>-2.3932373022716504</v>
      </c>
      <c r="N15" s="74">
        <f t="shared" si="0"/>
        <v>-2.3662085048908494</v>
      </c>
      <c r="O15" s="74">
        <f t="shared" si="0"/>
        <v>-2.6759048546646813</v>
      </c>
      <c r="P15" s="74">
        <f t="shared" si="0"/>
        <v>-2.462852542673506</v>
      </c>
      <c r="Q15" s="74">
        <f t="shared" si="0"/>
        <v>-0.56424655702635729</v>
      </c>
      <c r="R15" s="74">
        <f t="shared" si="0"/>
        <v>2.3407415195762273</v>
      </c>
      <c r="S15" s="74">
        <f t="shared" si="0"/>
        <v>4.2185419333151941</v>
      </c>
      <c r="T15" s="74">
        <f t="shared" si="0"/>
        <v>3.8080898648305848</v>
      </c>
      <c r="U15" s="74">
        <f t="shared" si="0"/>
        <v>1.4321040659535964</v>
      </c>
      <c r="V15" s="74">
        <f t="shared" si="0"/>
        <v>-3.6573357715562541E-2</v>
      </c>
      <c r="W15" s="74">
        <f t="shared" si="0"/>
        <v>-0.41146754131403229</v>
      </c>
      <c r="X15" s="74">
        <f t="shared" si="0"/>
        <v>9.3909153609635157E-2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Somerset</v>
      </c>
      <c r="G20" s="88"/>
      <c r="H20" s="89"/>
      <c r="I20" s="80">
        <f>IF(VLOOKUP($F20,PAY!$A$11:$AE$349,4,FALSE)="-",#N/A,VLOOKUP($F20,PAY!$A$11:$AE$349,4,FALSE))</f>
        <v>480.4</v>
      </c>
      <c r="J20" s="80">
        <f>IF(VLOOKUP($F20,PAY!$A$11:$AE$349,6,FALSE)="-",#N/A,VLOOKUP($F20,PAY!$A$11:$AE$349,6,FALSE))</f>
        <v>465.1</v>
      </c>
      <c r="K20" s="80">
        <f>IF(VLOOKUP($F20,PAY!$A$11:$AE$349,8,FALSE)="-",#N/A,VLOOKUP($F20,PAY!$A$11:$AE$349,8,FALSE))</f>
        <v>508.4</v>
      </c>
      <c r="L20" s="80">
        <f>IF(VLOOKUP($F20,PAY!$A$11:$AE$349,10,FALSE)="-",#N/A,VLOOKUP($F20,PAY!$A$11:$AE$349,10,FALSE))</f>
        <v>498.3</v>
      </c>
      <c r="M20" s="80">
        <f>IF(VLOOKUP($F20,PAY!$A$11:$AE$349,12,FALSE)="-",#N/A,VLOOKUP($F20,PAY!$A$11:$AE$349,12,FALSE))</f>
        <v>512</v>
      </c>
      <c r="N20" s="80">
        <f>IF(VLOOKUP($F20,PAY!$A$11:$AE$349,14,FALSE)="-",#N/A,VLOOKUP($F20,PAY!$A$11:$AE$349,14,FALSE))</f>
        <v>522.79999999999995</v>
      </c>
      <c r="O20" s="80">
        <f>IF(VLOOKUP($F20,PAY!$A$11:$AE$349,16,FALSE)="-",#N/A,VLOOKUP($F20,PAY!$A$11:$AE$349,16,FALSE))</f>
        <v>520</v>
      </c>
      <c r="P20" s="80">
        <f>IF(VLOOKUP($F20,PAY!$A$11:$AE$349,18,FALSE)="-",#N/A,VLOOKUP($F20,PAY!$A$11:$AE$349,18,FALSE))</f>
        <v>499</v>
      </c>
      <c r="Q20" s="80">
        <f>IF(VLOOKUP($F20,PAY!$A$11:$AE$349,20,FALSE)="-",#N/A,VLOOKUP($F20,PAY!$A$11:$AE$349,20,FALSE))</f>
        <v>520.6</v>
      </c>
      <c r="R20" s="80">
        <f>IF(VLOOKUP($F20,PAY!$A$11:$AE$349,22,FALSE)="-",#N/A,VLOOKUP($F20,PAY!$A$11:$AE$349,22,FALSE))</f>
        <v>503.6</v>
      </c>
      <c r="S20" s="80">
        <f>IF(VLOOKUP($F20,PAY!$A$11:$AE$349,24,FALSE)="-",#N/A,VLOOKUP($F20,PAY!$A$11:$AE$349,24,FALSE))</f>
        <v>497.8</v>
      </c>
      <c r="T20" s="80">
        <f>IF(VLOOKUP($F20,PAY!$A$11:$AE$349,26,FALSE)="-",#N/A,VLOOKUP($F20,PAY!$A$11:$AE$349,26,FALSE))</f>
        <v>526.4</v>
      </c>
      <c r="U20" s="80">
        <f>IF(VLOOKUP($F20,PAY!$A$11:$AE$349,28,FALSE)="-",#N/A,VLOOKUP($F20,PAY!$A$11:$AE$349,28,FALSE))</f>
        <v>545.5</v>
      </c>
      <c r="V20" s="80">
        <f>IF(VLOOKUP($F20,PAY!$A$11:$AE$349,30,FALSE)="-",#N/A,VLOOKUP($F20,PAY!$A$11:$AE$349,30,FALSE))</f>
        <v>550.1</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Somerset to Rural as a Region</v>
      </c>
      <c r="G23" s="122"/>
      <c r="H23" s="123"/>
      <c r="I23" s="74">
        <f>100*((I20-I21)/I21)</f>
        <v>10.948828289442908</v>
      </c>
      <c r="J23" s="74">
        <f t="shared" ref="J23:V23" si="2">100*((J20-J21)/J21)</f>
        <v>6.4484751387537926</v>
      </c>
      <c r="K23" s="74">
        <f t="shared" si="2"/>
        <v>13.45361276125745</v>
      </c>
      <c r="L23" s="74">
        <f t="shared" si="2"/>
        <v>10.572839422947307</v>
      </c>
      <c r="M23" s="74">
        <f t="shared" si="2"/>
        <v>12.467398134811827</v>
      </c>
      <c r="N23" s="74">
        <f t="shared" si="2"/>
        <v>12.873798188605809</v>
      </c>
      <c r="O23" s="74">
        <f t="shared" si="2"/>
        <v>10.449703442008529</v>
      </c>
      <c r="P23" s="74">
        <f t="shared" si="2"/>
        <v>5.0921198904851614</v>
      </c>
      <c r="Q23" s="74">
        <f t="shared" si="2"/>
        <v>6.3572723440679946</v>
      </c>
      <c r="R23" s="74">
        <f t="shared" si="2"/>
        <v>-9.0656822490891728E-2</v>
      </c>
      <c r="S23" s="74">
        <f t="shared" si="2"/>
        <v>-3.231878320362032</v>
      </c>
      <c r="T23" s="74">
        <f t="shared" si="2"/>
        <v>-1.367589620505586</v>
      </c>
      <c r="U23" s="74">
        <f t="shared" si="2"/>
        <v>2.7213739592077899</v>
      </c>
      <c r="V23" s="74">
        <f t="shared" si="2"/>
        <v>-2.5084822486660352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Somerset</v>
      </c>
      <c r="G28" s="88"/>
      <c r="H28" s="89"/>
      <c r="I28" s="76">
        <f>VLOOKUP($F28,EMPLOYMENT!$A$6:$BW$345,6,FALSE)</f>
        <v>75.3</v>
      </c>
      <c r="J28" s="77">
        <f>VLOOKUP($F28,EMPLOYMENT!$A$6:$BW$345,10,FALSE)</f>
        <v>76.099999999999994</v>
      </c>
      <c r="K28" s="77">
        <f>VLOOKUP($F28,EMPLOYMENT!$A$6:$BW$345,14,FALSE)</f>
        <v>79.7</v>
      </c>
      <c r="L28" s="77">
        <f>VLOOKUP($F28,EMPLOYMENT!$A$6:$BW$345,18,FALSE)</f>
        <v>80.7</v>
      </c>
      <c r="M28" s="77">
        <f>VLOOKUP($F28,EMPLOYMENT!$A$6:$BW$345,22,FALSE)</f>
        <v>79.7</v>
      </c>
      <c r="N28" s="77">
        <f>VLOOKUP($F28,EMPLOYMENT!$A$6:$BW$345,26,FALSE)</f>
        <v>75.599999999999994</v>
      </c>
      <c r="O28" s="77">
        <f>VLOOKUP($F28,EMPLOYMENT!$A$6:$BW$345,30,FALSE)</f>
        <v>77.3</v>
      </c>
      <c r="P28" s="77">
        <f>VLOOKUP($F28,EMPLOYMENT!$A$6:$BW$345,34,FALSE)</f>
        <v>75.7</v>
      </c>
      <c r="Q28" s="77">
        <f>VLOOKUP($F28,EMPLOYMENT!$A$6:$BW$345,38,FALSE)</f>
        <v>71.5</v>
      </c>
      <c r="R28" s="77">
        <f>VLOOKUP($F28,EMPLOYMENT!$A$6:$BW$345,42,FALSE)</f>
        <v>75.5</v>
      </c>
      <c r="S28" s="77">
        <f>VLOOKUP($F28,EMPLOYMENT!$A$6:$BW$345,46,FALSE)</f>
        <v>75.900000000000006</v>
      </c>
      <c r="T28" s="77">
        <f>VLOOKUP($F28,EMPLOYMENT!$A$6:$BW$345,50,FALSE)</f>
        <v>78.7</v>
      </c>
      <c r="U28" s="77">
        <f>VLOOKUP($F28,EMPLOYMENT!$A$6:$BW$345,54,FALSE)</f>
        <v>79.400000000000006</v>
      </c>
      <c r="V28" s="77">
        <f>VLOOKUP($F28,EMPLOYMENT!$A$6:$BW$345,58,FALSE)</f>
        <v>80.5</v>
      </c>
      <c r="W28" s="77">
        <f>VLOOKUP($F28,EMPLOYMENT!$A$6:$BW$345,62,FALSE)</f>
        <v>80.599999999999994</v>
      </c>
      <c r="X28" s="77">
        <f>VLOOKUP($F28,EMPLOYMENT!$A$6:$BW$345,66,FALSE)</f>
        <v>80.7</v>
      </c>
      <c r="Y28" s="77">
        <f>VLOOKUP($F28,EMPLOYMENT!$A$6:$BW$345,70,FALSE)</f>
        <v>81.400000000000006</v>
      </c>
      <c r="Z28" s="77">
        <f>VLOOKUP($F28,EMPLOYMENT!$A$6:$BW$345,74,FALSE)</f>
        <v>81.599999999999994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Somerset to Rural as a Region</v>
      </c>
      <c r="G31" s="122"/>
      <c r="H31" s="123"/>
      <c r="I31" s="74">
        <f>(I28-I29)</f>
        <v>-0.81134191940174105</v>
      </c>
      <c r="J31" s="74">
        <f t="shared" ref="J31:Z31" si="4">(J28-J29)</f>
        <v>-0.21297546668296263</v>
      </c>
      <c r="K31" s="74">
        <f t="shared" si="4"/>
        <v>3.8268111005132397</v>
      </c>
      <c r="L31" s="74">
        <f t="shared" si="4"/>
        <v>5.0595316973721651</v>
      </c>
      <c r="M31" s="74">
        <f t="shared" si="4"/>
        <v>3.9644756266682606</v>
      </c>
      <c r="N31" s="74">
        <f t="shared" si="4"/>
        <v>1.0904601571268131</v>
      </c>
      <c r="O31" s="74">
        <f t="shared" si="4"/>
        <v>3.7528668610301281</v>
      </c>
      <c r="P31" s="74">
        <f t="shared" si="4"/>
        <v>1.9657045967223894</v>
      </c>
      <c r="Q31" s="74">
        <f t="shared" si="4"/>
        <v>-2.5331574754625734</v>
      </c>
      <c r="R31" s="74">
        <f t="shared" si="4"/>
        <v>0.75552507009979308</v>
      </c>
      <c r="S31" s="74">
        <f t="shared" si="4"/>
        <v>-0.20886034007560283</v>
      </c>
      <c r="T31" s="74">
        <f t="shared" si="4"/>
        <v>1.5094680243909835</v>
      </c>
      <c r="U31" s="74">
        <f t="shared" si="4"/>
        <v>2.4283675182919637</v>
      </c>
      <c r="V31" s="74">
        <f t="shared" si="4"/>
        <v>2.4672131147541023</v>
      </c>
      <c r="W31" s="74">
        <f t="shared" si="4"/>
        <v>2.5518431065858493</v>
      </c>
      <c r="X31" s="74">
        <f t="shared" si="4"/>
        <v>2.1087006210432975</v>
      </c>
      <c r="Y31" s="74">
        <f t="shared" si="4"/>
        <v>4.3856537038708012</v>
      </c>
      <c r="Z31" s="74">
        <f t="shared" si="4"/>
        <v>5.4442419221209519</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Somerset</v>
      </c>
      <c r="G36" s="88" t="str">
        <f>IFERROR(VLOOKUP(F36,GDHI!B338:C574,2,FALSE),VLOOKUP(F36,GDHI!C3:C336,1,FALSE))</f>
        <v>North Somerset</v>
      </c>
      <c r="H36" s="89" t="str">
        <f>IF(F36=G36,"",G36)</f>
        <v/>
      </c>
      <c r="I36" s="83">
        <f>IFERROR(VLOOKUP($F36,GDHI!$B$338:$U$574,GDHI!G$578,FALSE),VLOOKUP($F36,GDHI!$C$3:$U$336,GDHI!F$578,FALSE))</f>
        <v>14600</v>
      </c>
      <c r="J36" s="84">
        <f>IFERROR(VLOOKUP($F36,GDHI!$B$338:$U$574,GDHI!H$578,FALSE),VLOOKUP($F36,GDHI!$C$3:$U$336,GDHI!G$578,FALSE))</f>
        <v>15230</v>
      </c>
      <c r="K36" s="84">
        <f>IFERROR(VLOOKUP($F36,GDHI!$B$338:$U$574,GDHI!I$578,FALSE),VLOOKUP($F36,GDHI!$C$3:$U$336,GDHI!H$578,FALSE))</f>
        <v>16017</v>
      </c>
      <c r="L36" s="84">
        <f>IFERROR(VLOOKUP($F36,GDHI!$B$338:$U$574,GDHI!J$578,FALSE),VLOOKUP($F36,GDHI!$C$3:$U$336,GDHI!I$578,FALSE))</f>
        <v>16594</v>
      </c>
      <c r="M36" s="84">
        <f>IFERROR(VLOOKUP($F36,GDHI!$B$338:$U$574,GDHI!K$578,FALSE),VLOOKUP($F36,GDHI!$C$3:$U$336,GDHI!J$578,FALSE))</f>
        <v>17341</v>
      </c>
      <c r="N36" s="84">
        <f>IFERROR(VLOOKUP($F36,GDHI!$B$338:$U$574,GDHI!L$578,FALSE),VLOOKUP($F36,GDHI!$C$3:$U$336,GDHI!K$578,FALSE))</f>
        <v>17218</v>
      </c>
      <c r="O36" s="84">
        <f>IFERROR(VLOOKUP($F36,GDHI!$B$338:$U$574,GDHI!M$578,FALSE),VLOOKUP($F36,GDHI!$C$3:$U$336,GDHI!L$578,FALSE))</f>
        <v>17412</v>
      </c>
      <c r="P36" s="84">
        <f>IFERROR(VLOOKUP($F36,GDHI!$B$338:$U$574,GDHI!N$578,FALSE),VLOOKUP($F36,GDHI!$C$3:$U$336,GDHI!M$578,FALSE))</f>
        <v>17838</v>
      </c>
      <c r="Q36" s="84">
        <f>IFERROR(VLOOKUP($F36,GDHI!$B$338:$U$574,GDHI!O$578,FALSE),VLOOKUP($F36,GDHI!$C$3:$U$336,GDHI!N$578,FALSE))</f>
        <v>18364</v>
      </c>
      <c r="R36" s="84">
        <f>IFERROR(VLOOKUP($F36,GDHI!$B$338:$U$574,GDHI!P$578,FALSE),VLOOKUP($F36,GDHI!$C$3:$U$336,GDHI!O$578,FALSE))</f>
        <v>19105</v>
      </c>
      <c r="S36" s="84">
        <f>IFERROR(VLOOKUP($F36,GDHI!$B$338:$U$574,GDHI!Q$578,FALSE),VLOOKUP($F36,GDHI!$C$3:$U$336,GDHI!P$578,FALSE))</f>
        <v>19719</v>
      </c>
      <c r="T36" s="84">
        <f>IFERROR(VLOOKUP($F36,GDHI!$B$338:$U$574,GDHI!R$578,FALSE),VLOOKUP($F36,GDHI!$C$3:$U$336,GDHI!Q$578,FALSE))</f>
        <v>21174</v>
      </c>
      <c r="U36" s="84">
        <f>IFERROR(VLOOKUP($F36,GDHI!$B$338:$U$574,GDHI!S$578,FALSE),VLOOKUP($F36,GDHI!$C$3:$U$336,GDHI!R$578,FALSE))</f>
        <v>21179</v>
      </c>
      <c r="V36" s="84">
        <f>IFERROR(VLOOKUP($F36,GDHI!$B$338:$U$574,GDHI!T$578,FALSE),VLOOKUP($F36,GDHI!$C$3:$U$336,GDHI!S$578,FALSE))</f>
        <v>21295</v>
      </c>
      <c r="W36" s="84">
        <f>IFERROR(VLOOKUP($F36,GDHI!$B$338:$U$574,GDHI!U$578,FALSE),VLOOKUP($F36,GDHI!$C$3:$U$336,GDHI!T$578,FALSE))</f>
        <v>22636</v>
      </c>
      <c r="X36" s="84">
        <f>IFERROR(VLOOKUP($F36,GDHI!$B$338:$U$574,GDHI!V$578,FALSE),VLOOKUP($F36,GDHI!$C$3:$U$336,GDHI!U$578,FALSE))</f>
        <v>22878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Somerset to Rural as a Region</v>
      </c>
      <c r="G39" s="122"/>
      <c r="H39" s="123"/>
      <c r="I39" s="74">
        <f>100*((I36-I37)/I37)</f>
        <v>-0.74441687344913154</v>
      </c>
      <c r="J39" s="74">
        <f t="shared" ref="J39:X39" si="6">100*((J36-J37)/J37)</f>
        <v>-0.72640164633451354</v>
      </c>
      <c r="K39" s="74">
        <f t="shared" si="6"/>
        <v>0.58289617988818032</v>
      </c>
      <c r="L39" s="74">
        <f t="shared" si="6"/>
        <v>0.15584953083470485</v>
      </c>
      <c r="M39" s="74">
        <f t="shared" si="6"/>
        <v>1.6270582415826822</v>
      </c>
      <c r="N39" s="74">
        <f t="shared" si="6"/>
        <v>-0.43322169481724909</v>
      </c>
      <c r="O39" s="74">
        <f t="shared" si="6"/>
        <v>-0.54784740236560348</v>
      </c>
      <c r="P39" s="74">
        <f t="shared" si="6"/>
        <v>0.21321505292923632</v>
      </c>
      <c r="Q39" s="74">
        <f t="shared" si="6"/>
        <v>-1.2834024944669085E-2</v>
      </c>
      <c r="R39" s="74">
        <f t="shared" si="6"/>
        <v>1.2242251378349163</v>
      </c>
      <c r="S39" s="74">
        <f t="shared" si="6"/>
        <v>1.6651046145291128</v>
      </c>
      <c r="T39" s="74">
        <f t="shared" si="6"/>
        <v>3.4980465544992172</v>
      </c>
      <c r="U39" s="74">
        <f t="shared" si="6"/>
        <v>2.6865347718777275</v>
      </c>
      <c r="V39" s="74">
        <f t="shared" si="6"/>
        <v>1.5716872570057019</v>
      </c>
      <c r="W39" s="74">
        <f t="shared" si="6"/>
        <v>3.6357630981981885</v>
      </c>
      <c r="X39" s="74">
        <f t="shared" si="6"/>
        <v>2.7525957468195705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Somerset</v>
      </c>
      <c r="G44" s="88"/>
      <c r="H44" s="89"/>
      <c r="I44" s="76">
        <f>VLOOKUP($F44,'LOW PAID'!$A$9:$N$444,6,FALSE)</f>
        <v>26</v>
      </c>
      <c r="J44" s="77">
        <f>VLOOKUP($F44,'LOW PAID'!$P$9:$W$444,6,FALSE)</f>
        <v>24.7</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Somerset to Rural as a Region</v>
      </c>
      <c r="G47" s="122"/>
      <c r="H47" s="123"/>
      <c r="I47" s="74">
        <f>(I44-I45)</f>
        <v>0.80612532178688312</v>
      </c>
      <c r="J47" s="74">
        <f>(J44-J45)</f>
        <v>-0.98611650903005454</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Somerset</v>
      </c>
      <c r="G52" s="88"/>
      <c r="H52" s="89"/>
      <c r="I52" s="76">
        <f>VLOOKUP($F52,INACTIVITY!$A$6:$BW$345,6,FALSE)</f>
        <v>22.4</v>
      </c>
      <c r="J52" s="77">
        <f>VLOOKUP($F52,INACTIVITY!$A$6:$BW$345,10,FALSE)</f>
        <v>21.8</v>
      </c>
      <c r="K52" s="77">
        <f>VLOOKUP($F52,INACTIVITY!$A$6:$BW$345,14,FALSE)</f>
        <v>19.399999999999999</v>
      </c>
      <c r="L52" s="77">
        <f>VLOOKUP($F52,INACTIVITY!$A$6:$BW$345,18,FALSE)</f>
        <v>17.7</v>
      </c>
      <c r="M52" s="77">
        <f>VLOOKUP($F52,INACTIVITY!$A$6:$BW$345,22,FALSE)</f>
        <v>17.2</v>
      </c>
      <c r="N52" s="77">
        <f>VLOOKUP($F52,INACTIVITY!$A$6:$BW$345,26,FALSE)</f>
        <v>19.7</v>
      </c>
      <c r="O52" s="77">
        <f>VLOOKUP($F52,INACTIVITY!$A$6:$BW$345,30,FALSE)</f>
        <v>18.3</v>
      </c>
      <c r="P52" s="77">
        <f>VLOOKUP($F52,INACTIVITY!$A$6:$BW$345,34,FALSE)</f>
        <v>18.8</v>
      </c>
      <c r="Q52" s="77">
        <f>VLOOKUP($F52,INACTIVITY!$A$6:$BW$345,38,FALSE)</f>
        <v>22.9</v>
      </c>
      <c r="R52" s="77">
        <f>VLOOKUP($F52,INACTIVITY!$A$6:$BW$345,42,FALSE)</f>
        <v>20.7</v>
      </c>
      <c r="S52" s="77">
        <f>VLOOKUP($F52,INACTIVITY!$A$6:$BW$345,46,FALSE)</f>
        <v>20.5</v>
      </c>
      <c r="T52" s="77">
        <f>VLOOKUP($F52,INACTIVITY!$A$6:$BW$345,50,FALSE)</f>
        <v>18.399999999999999</v>
      </c>
      <c r="U52" s="77">
        <f>VLOOKUP($F52,INACTIVITY!$A$6:$BW$345,54,FALSE)</f>
        <v>17.899999999999999</v>
      </c>
      <c r="V52" s="77">
        <f>VLOOKUP($F52,INACTIVITY!$A$6:$BW$345,58,FALSE)</f>
        <v>17</v>
      </c>
      <c r="W52" s="77">
        <f>VLOOKUP($F52,INACTIVITY!$A$6:$BW$345,62,FALSE)</f>
        <v>17.399999999999999</v>
      </c>
      <c r="X52" s="77">
        <f>VLOOKUP($F52,INACTIVITY!$A$6:$BW$345,66,FALSE)</f>
        <v>16.100000000000001</v>
      </c>
      <c r="Y52" s="77">
        <f>VLOOKUP($F52,INACTIVITY!$A$6:$BW$345,70,FALSE)</f>
        <v>14.7</v>
      </c>
      <c r="Z52" s="77">
        <f>VLOOKUP($F52,INACTIVITY!$A$6:$BW$345,74,FALSE)</f>
        <v>16.2</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Somerset to Rural as a Region</v>
      </c>
      <c r="G55" s="122"/>
      <c r="H55" s="123"/>
      <c r="I55" s="74">
        <f>(I52-I53)</f>
        <v>1.0043554283897613</v>
      </c>
      <c r="J55" s="74">
        <f t="shared" ref="J55:Z55" si="10">(J52-J53)</f>
        <v>0.79147727272727408</v>
      </c>
      <c r="K55" s="74">
        <f t="shared" si="10"/>
        <v>-1.4624653934587784</v>
      </c>
      <c r="L55" s="74">
        <f t="shared" si="10"/>
        <v>-3.61406533153664</v>
      </c>
      <c r="M55" s="74">
        <f t="shared" si="10"/>
        <v>-3.6350023108920055</v>
      </c>
      <c r="N55" s="74">
        <f t="shared" si="10"/>
        <v>-1.2331437579204412</v>
      </c>
      <c r="O55" s="74">
        <f t="shared" si="10"/>
        <v>-3.3919371275051731</v>
      </c>
      <c r="P55" s="74">
        <f t="shared" si="10"/>
        <v>-2.6942457807534481</v>
      </c>
      <c r="Q55" s="74">
        <f t="shared" si="10"/>
        <v>1.7174512055109048</v>
      </c>
      <c r="R55" s="74">
        <f t="shared" si="10"/>
        <v>-7.4593097438771849E-2</v>
      </c>
      <c r="S55" s="74">
        <f t="shared" si="10"/>
        <v>0.22678954402759999</v>
      </c>
      <c r="T55" s="74">
        <f t="shared" si="10"/>
        <v>-1.2961946834069593</v>
      </c>
      <c r="U55" s="74">
        <f t="shared" si="10"/>
        <v>-1.9524293470694722</v>
      </c>
      <c r="V55" s="74">
        <f t="shared" si="10"/>
        <v>-2.2532773342803765</v>
      </c>
      <c r="W55" s="74">
        <f t="shared" si="10"/>
        <v>-1.7769560091828502</v>
      </c>
      <c r="X55" s="74">
        <f t="shared" si="10"/>
        <v>-2.7520649493649287</v>
      </c>
      <c r="Y55" s="74">
        <f t="shared" si="10"/>
        <v>-5.0725827218714628</v>
      </c>
      <c r="Z55" s="74">
        <f t="shared" si="10"/>
        <v>-4.8851797756300712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Somerset</v>
      </c>
      <c r="G60" s="88"/>
      <c r="H60" s="89"/>
      <c r="I60" s="76">
        <f>VLOOKUP($F60,DISABILITY!$A$718:$I$1052,DISABILITY!B$1053,FALSE)</f>
        <v>29.500000000000007</v>
      </c>
      <c r="J60" s="77">
        <f>VLOOKUP($F60,DISABILITY!$A$718:$I$1052,DISABILITY!C$1053,FALSE)</f>
        <v>23.100000000000009</v>
      </c>
      <c r="K60" s="77">
        <f>VLOOKUP($F60,DISABILITY!$A$718:$I$1052,DISABILITY!D$1053,FALSE)</f>
        <v>16.900000000000006</v>
      </c>
      <c r="L60" s="77">
        <f>VLOOKUP($F60,DISABILITY!$A$718:$I$1052,DISABILITY!E$1053,FALSE)</f>
        <v>22.900000000000006</v>
      </c>
      <c r="M60" s="77">
        <f>VLOOKUP($F60,DISABILITY!$A$718:$I$1052,DISABILITY!F$1053,FALSE)</f>
        <v>27.200000000000003</v>
      </c>
      <c r="N60" s="77">
        <f>VLOOKUP($F60,DISABILITY!$A$718:$I$1052,DISABILITY!G$1053,FALSE)</f>
        <v>19.700000000000003</v>
      </c>
      <c r="O60" s="77">
        <f>VLOOKUP($F60,DISABILITY!$A$718:$I$1052,DISABILITY!H$1053,FALSE)</f>
        <v>27.6</v>
      </c>
      <c r="P60" s="77">
        <f>VLOOKUP($F60,DISABILITY!$A$718:$I$1052,DISABILITY!I$1053,FALSE)</f>
        <v>21.200000000000003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Somerset to Rural as a Region</v>
      </c>
      <c r="G63" s="122"/>
      <c r="H63" s="123"/>
      <c r="I63" s="74">
        <f>(I60-I61)</f>
        <v>2.0798434593527588</v>
      </c>
      <c r="J63" s="74">
        <f t="shared" ref="J63:P63" si="12">(J60-J61)</f>
        <v>-4.2190444070511788</v>
      </c>
      <c r="K63" s="74">
        <f t="shared" si="12"/>
        <v>-11.2191283614982</v>
      </c>
      <c r="L63" s="74">
        <f t="shared" si="12"/>
        <v>-3.0909345389966703</v>
      </c>
      <c r="M63" s="74">
        <f t="shared" si="12"/>
        <v>1.7247741813338848</v>
      </c>
      <c r="N63" s="74">
        <f t="shared" si="12"/>
        <v>-5.8312476854419799</v>
      </c>
      <c r="O63" s="74">
        <f t="shared" si="12"/>
        <v>3.8027777120030564</v>
      </c>
      <c r="P63" s="74">
        <f t="shared" si="12"/>
        <v>-4.154177930342172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Somerset</v>
      </c>
      <c r="G68" s="88"/>
      <c r="H68" s="89"/>
      <c r="I68" s="76">
        <f>VLOOKUP($F68,'WORKLESS HOUSEHOLDS'!$DW$4:$EC$397,7,FALSE)</f>
        <v>7.5716155888583172</v>
      </c>
      <c r="J68" s="77">
        <f>VLOOKUP($F68,'WORKLESS HOUSEHOLDS'!$DN$4:$DT$397,7,FALSE)</f>
        <v>6.6171192534721088</v>
      </c>
      <c r="K68" s="77">
        <f>VLOOKUP($F68,'WORKLESS HOUSEHOLDS'!$DE$4:$DK$397,7,FALSE)</f>
        <v>10.68533648997904</v>
      </c>
      <c r="L68" s="77">
        <f>VLOOKUP($F68,'WORKLESS HOUSEHOLDS'!$CV$4:$DB$397,7,FALSE)</f>
        <v>8.1794488755152557</v>
      </c>
      <c r="M68" s="77">
        <f>VLOOKUP($F68,'WORKLESS HOUSEHOLDS'!$CM$4:$CS$397,7,FALSE)</f>
        <v>12.885675933209125</v>
      </c>
      <c r="N68" s="77">
        <f>VLOOKUP($F68,'WORKLESS HOUSEHOLDS'!$CD$4:$CJ$397,7,FALSE)</f>
        <v>7.4989049496276827</v>
      </c>
      <c r="O68" s="77">
        <f>VLOOKUP($F68,'WORKLESS HOUSEHOLDS'!$BU$4:$CA$397,7,FALSE)</f>
        <v>9.3129676581534842</v>
      </c>
      <c r="P68" s="77">
        <f>VLOOKUP($F68,'WORKLESS HOUSEHOLDS'!$BL$4:$BR$397,7,FALSE)</f>
        <v>8.0440669620876406</v>
      </c>
      <c r="Q68" s="77">
        <f>VLOOKUP($F68,'WORKLESS HOUSEHOLDS'!$BC$4:$BI$397,7,FALSE)</f>
        <v>10.229679548892861</v>
      </c>
      <c r="R68" s="77">
        <f>VLOOKUP($F68,'WORKLESS HOUSEHOLDS'!$AT$4:$AZ$397,7,FALSE)</f>
        <v>8.0630657634434382</v>
      </c>
      <c r="S68" s="77">
        <f>VLOOKUP($F68,'WORKLESS HOUSEHOLDS'!$AK$4:$AQ$397,7,FALSE)</f>
        <v>4.5759768451519536</v>
      </c>
      <c r="T68" s="77">
        <f>VLOOKUP($F68,'WORKLESS HOUSEHOLDS'!$AB$4:$AH$397,7,FALSE)</f>
        <v>5.7141321292264688</v>
      </c>
      <c r="U68" s="77">
        <f>VLOOKUP($F68,'WORKLESS HOUSEHOLDS'!$S$4:$Y$397,7,FALSE)</f>
        <v>6.7317454119484577</v>
      </c>
      <c r="V68" s="77">
        <f>VLOOKUP($F68,'WORKLESS HOUSEHOLDS'!$J$4:$P$397,7,FALSE)</f>
        <v>7.5358795755224151</v>
      </c>
      <c r="W68" s="77">
        <f>VLOOKUP($F68,'WORKLESS HOUSEHOLDS'!$B$4:$H$397,7,FALSE)</f>
        <v>3.6714891385112982</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Somerset to Rural as a Region</v>
      </c>
      <c r="G71" s="122"/>
      <c r="H71" s="123"/>
      <c r="I71" s="74">
        <f>(I68-I69)</f>
        <v>-2.4403302737283736</v>
      </c>
      <c r="J71" s="74">
        <f t="shared" ref="J71:W71" si="14">(J68-J69)</f>
        <v>-4.2940355840029154</v>
      </c>
      <c r="K71" s="74">
        <f t="shared" si="14"/>
        <v>0.39209076082319605</v>
      </c>
      <c r="L71" s="74">
        <f t="shared" si="14"/>
        <v>-2.7865577858144768</v>
      </c>
      <c r="M71" s="74">
        <f t="shared" si="14"/>
        <v>1.1918967520206518</v>
      </c>
      <c r="N71" s="74">
        <f t="shared" si="14"/>
        <v>-4.4021947296276984</v>
      </c>
      <c r="O71" s="74">
        <f t="shared" si="14"/>
        <v>-1.7222855895890277</v>
      </c>
      <c r="P71" s="74">
        <f t="shared" si="14"/>
        <v>-1.6474309236801972</v>
      </c>
      <c r="Q71" s="74">
        <f t="shared" si="14"/>
        <v>-0.57549871150555099</v>
      </c>
      <c r="R71" s="74">
        <f t="shared" si="14"/>
        <v>-2.6430305602861157</v>
      </c>
      <c r="S71" s="74">
        <f t="shared" si="14"/>
        <v>-5.5767679829969277</v>
      </c>
      <c r="T71" s="74">
        <f t="shared" si="14"/>
        <v>-4.1895360654062817</v>
      </c>
      <c r="U71" s="74">
        <f t="shared" si="14"/>
        <v>-4.0303047527310181</v>
      </c>
      <c r="V71" s="74">
        <f t="shared" si="14"/>
        <v>-2.4029889010172329</v>
      </c>
      <c r="W71" s="74">
        <f t="shared" si="14"/>
        <v>-6.6812122846728954</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Somerset</v>
      </c>
      <c r="G76" s="88"/>
      <c r="H76" s="89"/>
      <c r="I76" s="76">
        <f>VLOOKUP($F76,'SKILLED EMPLOYMENT'!$A$1506:$BW$1841,6,FALSE)</f>
        <v>52</v>
      </c>
      <c r="J76" s="77">
        <f>VLOOKUP($F76,'SKILLED EMPLOYMENT'!$A$1506:$BW$1841,10,FALSE)</f>
        <v>53.900000000000006</v>
      </c>
      <c r="K76" s="77">
        <f>VLOOKUP($F76,'SKILLED EMPLOYMENT'!$A$1506:$BW$1841,14,FALSE)</f>
        <v>53.5</v>
      </c>
      <c r="L76" s="77">
        <f>VLOOKUP($F76,'SKILLED EMPLOYMENT'!$A$1506:$BW$1841,18,FALSE)</f>
        <v>54.399999999999991</v>
      </c>
      <c r="M76" s="77">
        <f>VLOOKUP($F76,'SKILLED EMPLOYMENT'!$A$1506:$BW$1841,22,FALSE)</f>
        <v>53</v>
      </c>
      <c r="N76" s="77">
        <f>VLOOKUP($F76,'SKILLED EMPLOYMENT'!$A$1506:$BW$1841,26,FALSE)</f>
        <v>55.099999999999994</v>
      </c>
      <c r="O76" s="77">
        <f>VLOOKUP($F76,'SKILLED EMPLOYMENT'!$A$1506:$BW$1841,30,FALSE)</f>
        <v>54.500000000000007</v>
      </c>
      <c r="P76" s="77">
        <f>VLOOKUP($F76,'SKILLED EMPLOYMENT'!$A$1506:$BW$1841,34,FALSE)</f>
        <v>58.7</v>
      </c>
      <c r="Q76" s="77">
        <f>VLOOKUP($F76,'SKILLED EMPLOYMENT'!$A$1506:$BW$1841,38,FALSE)</f>
        <v>58.3</v>
      </c>
      <c r="R76" s="77">
        <f>VLOOKUP($F76,'SKILLED EMPLOYMENT'!$A$1506:$BW$1841,42,FALSE)</f>
        <v>55.099999999999994</v>
      </c>
      <c r="S76" s="77">
        <f>VLOOKUP($F76,'SKILLED EMPLOYMENT'!$A$1506:$BW$1841,46,FALSE)</f>
        <v>54.000000000000007</v>
      </c>
      <c r="T76" s="77">
        <f>VLOOKUP($F76,'SKILLED EMPLOYMENT'!$A$1506:$BW$1841,50,FALSE)</f>
        <v>57.099999999999994</v>
      </c>
      <c r="U76" s="77">
        <f>VLOOKUP($F76,'SKILLED EMPLOYMENT'!$A$1506:$BW$1841,54,FALSE)</f>
        <v>55.099999999999994</v>
      </c>
      <c r="V76" s="77">
        <f>VLOOKUP($F76,'SKILLED EMPLOYMENT'!$A$1506:$BW$1841,58,FALSE)</f>
        <v>58.5</v>
      </c>
      <c r="W76" s="77">
        <f>VLOOKUP($F76,'SKILLED EMPLOYMENT'!$A$1506:$BW$1841,62,FALSE)</f>
        <v>56.600000000000009</v>
      </c>
      <c r="X76" s="77">
        <f>VLOOKUP($F76,'SKILLED EMPLOYMENT'!$A$1506:$BW$1841,66,FALSE)</f>
        <v>56.8</v>
      </c>
      <c r="Y76" s="77">
        <f>VLOOKUP($F76,'SKILLED EMPLOYMENT'!$A$1506:$BW$1841,70,FALSE)</f>
        <v>58.1</v>
      </c>
      <c r="Z76" s="77">
        <f>VLOOKUP($F76,'SKILLED EMPLOYMENT'!$A$1506:$BW$1841,74,FALSE)</f>
        <v>61.500000000000007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Somerset to Rural as a Region</v>
      </c>
      <c r="G79" s="122"/>
      <c r="H79" s="123"/>
      <c r="I79" s="74">
        <f>(I76-I77)</f>
        <v>-0.70000000000000284</v>
      </c>
      <c r="J79" s="74">
        <f t="shared" ref="J79:Z79" si="17">(J76-J77)</f>
        <v>1.0000000000000071</v>
      </c>
      <c r="K79" s="74">
        <f t="shared" si="17"/>
        <v>0</v>
      </c>
      <c r="L79" s="74">
        <f t="shared" si="17"/>
        <v>0.39999999999999147</v>
      </c>
      <c r="M79" s="74">
        <f t="shared" si="17"/>
        <v>-1.1000000000000014</v>
      </c>
      <c r="N79" s="74">
        <f t="shared" si="17"/>
        <v>0.69999999999999574</v>
      </c>
      <c r="O79" s="74">
        <f t="shared" si="17"/>
        <v>-0.89999999999999147</v>
      </c>
      <c r="P79" s="74">
        <f t="shared" si="17"/>
        <v>3.1000000000000014</v>
      </c>
      <c r="Q79" s="74">
        <f t="shared" si="17"/>
        <v>2.8999999999999986</v>
      </c>
      <c r="R79" s="74">
        <f t="shared" si="17"/>
        <v>-1.1000000000000085</v>
      </c>
      <c r="S79" s="74">
        <f t="shared" si="17"/>
        <v>-2.1999999999999957</v>
      </c>
      <c r="T79" s="74">
        <f t="shared" si="17"/>
        <v>0.29999999999999716</v>
      </c>
      <c r="U79" s="74">
        <f t="shared" si="17"/>
        <v>-1.5000000000000071</v>
      </c>
      <c r="V79" s="74">
        <f t="shared" si="17"/>
        <v>1.3999999999999986</v>
      </c>
      <c r="W79" s="74">
        <f t="shared" si="17"/>
        <v>-1.1999999999999886</v>
      </c>
      <c r="X79" s="74">
        <f t="shared" si="17"/>
        <v>-2</v>
      </c>
      <c r="Y79" s="74">
        <f t="shared" si="17"/>
        <v>-0.60000000000000142</v>
      </c>
      <c r="Z79" s="74">
        <f t="shared" si="17"/>
        <v>3.1000000000000085</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AWXxla0swczho0fwAYF+dFRXxul1mNvRcV8vzE8SefSKWRrIQSBF9HxKUAFU8RHVjW50jJ9OpNK2bqWbpWeFdQ==" saltValue="HTY+Bh160ovQDM2QjHU1T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2022-08-02T11:35:47Z</dcterms:modified>
</cp:coreProperties>
</file>