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117A4DDC-38AA-4AB7-9BA7-144154454E22}" xr6:coauthVersionLast="47" xr6:coauthVersionMax="47" xr10:uidLastSave="{80BF2E42-26C2-4E69-B08E-2017C0912CBD}"/>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<sst xmlns="http://schemas.openxmlformats.org/spreadsheetml/2006/main" count="32859" uniqueCount="1676">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</sst>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Richmondshire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20.37</c:v>
                </c:pt>
                <c:pt idx="1">
                  <c:v>20.54</c:v>
                </c:pt>
                <c:pt idx="2">
                  <c:v>20.28</c:v>
                </c:pt>
                <c:pt idx="3">
                  <c:v>20.399999999999999</c:v>
                </c:pt>
                <c:pt idx="4">
                  <c:v>20.04</c:v>
                </c:pt>
                <c:pt idx="5">
                  <c:v>20.07</c:v>
                </c:pt>
                <c:pt idx="6">
                  <c:v>20.58</c:v>
                </c:pt>
                <c:pt idx="7">
                  <c:v>21.52</c:v>
                </c:pt>
                <c:pt idx="8">
                  <c:v>21.85</c:v>
                </c:pt>
                <c:pt idx="9">
                  <c:v>22.05</c:v>
                </c:pt>
                <c:pt idx="10">
                  <c:v>22.71</c:v>
                </c:pt>
                <c:pt idx="11">
                  <c:v>23.28</c:v>
                </c:pt>
                <c:pt idx="12">
                  <c:v>23.23</c:v>
                </c:pt>
                <c:pt idx="13">
                  <c:v>22.3</c:v>
                </c:pt>
                <c:pt idx="14">
                  <c:v>21.8</c:v>
                </c:pt>
                <c:pt idx="15">
                  <c:v>21.64</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Richmondshire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414.7</c:v>
                </c:pt>
                <c:pt idx="1">
                  <c:v>412.1</c:v>
                </c:pt>
                <c:pt idx="2">
                  <c:v>357.3</c:v>
                </c:pt>
                <c:pt idx="3">
                  <c:v>445</c:v>
                </c:pt>
                <c:pt idx="4">
                  <c:v>456.7</c:v>
                </c:pt>
                <c:pt idx="5">
                  <c:v>464.5</c:v>
                </c:pt>
                <c:pt idx="6">
                  <c:v>472</c:v>
                </c:pt>
                <c:pt idx="7">
                  <c:v>445.3</c:v>
                </c:pt>
                <c:pt idx="8">
                  <c:v>447</c:v>
                </c:pt>
                <c:pt idx="9">
                  <c:v>484.9</c:v>
                </c:pt>
                <c:pt idx="10">
                  <c:v>511.8</c:v>
                </c:pt>
                <c:pt idx="11">
                  <c:v>519.4</c:v>
                </c:pt>
                <c:pt idx="12">
                  <c:v>487.5</c:v>
                </c:pt>
                <c:pt idx="13">
                  <c:v>562.29999999999995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Richmondshire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75.3</c:v>
                </c:pt>
                <c:pt idx="1">
                  <c:v>74.5</c:v>
                </c:pt>
                <c:pt idx="2">
                  <c:v>81.7</c:v>
                </c:pt>
                <c:pt idx="3">
                  <c:v>75.2</c:v>
                </c:pt>
                <c:pt idx="4">
                  <c:v>85.6</c:v>
                </c:pt>
                <c:pt idx="5">
                  <c:v>77.7</c:v>
                </c:pt>
                <c:pt idx="6">
                  <c:v>76.599999999999994</c:v>
                </c:pt>
                <c:pt idx="7">
                  <c:v>69.5</c:v>
                </c:pt>
                <c:pt idx="8">
                  <c:v>72.5</c:v>
                </c:pt>
                <c:pt idx="9">
                  <c:v>81.599999999999994</c:v>
                </c:pt>
                <c:pt idx="10">
                  <c:v>73.3</c:v>
                </c:pt>
                <c:pt idx="11">
                  <c:v>84.8</c:v>
                </c:pt>
                <c:pt idx="12">
                  <c:v>76.900000000000006</c:v>
                </c:pt>
                <c:pt idx="13">
                  <c:v>74.400000000000006</c:v>
                </c:pt>
                <c:pt idx="14">
                  <c:v>71.2</c:v>
                </c:pt>
                <c:pt idx="15">
                  <c:v>75.7</c:v>
                </c:pt>
                <c:pt idx="16">
                  <c:v>79.5</c:v>
                </c:pt>
                <c:pt idx="17">
                  <c:v>83.9</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Richmondshire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13315</c:v>
                </c:pt>
                <c:pt idx="1">
                  <c:v>13839</c:v>
                </c:pt>
                <c:pt idx="2">
                  <c:v>14648</c:v>
                </c:pt>
                <c:pt idx="3">
                  <c:v>15032</c:v>
                </c:pt>
                <c:pt idx="4">
                  <c:v>15320</c:v>
                </c:pt>
                <c:pt idx="5">
                  <c:v>16176</c:v>
                </c:pt>
                <c:pt idx="6">
                  <c:v>16192</c:v>
                </c:pt>
                <c:pt idx="7">
                  <c:v>16351</c:v>
                </c:pt>
                <c:pt idx="8">
                  <c:v>16976</c:v>
                </c:pt>
                <c:pt idx="9">
                  <c:v>17351</c:v>
                </c:pt>
                <c:pt idx="10">
                  <c:v>17674</c:v>
                </c:pt>
                <c:pt idx="11">
                  <c:v>18880</c:v>
                </c:pt>
                <c:pt idx="12">
                  <c:v>18619</c:v>
                </c:pt>
                <c:pt idx="13">
                  <c:v>19133</c:v>
                </c:pt>
                <c:pt idx="14">
                  <c:v>20534</c:v>
                </c:pt>
                <c:pt idx="15">
                  <c:v>21033</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Richmondshire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27.5</c:v>
                </c:pt>
                <c:pt idx="1">
                  <c:v>28.8</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Richmondshire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21.1</c:v>
                </c:pt>
                <c:pt idx="1">
                  <c:v>23.6</c:v>
                </c:pt>
                <c:pt idx="2">
                  <c:v>17.399999999999999</c:v>
                </c:pt>
                <c:pt idx="3">
                  <c:v>21.5</c:v>
                </c:pt>
                <c:pt idx="4">
                  <c:v>13.2</c:v>
                </c:pt>
                <c:pt idx="5">
                  <c:v>17.399999999999999</c:v>
                </c:pt>
                <c:pt idx="6">
                  <c:v>20.6</c:v>
                </c:pt>
                <c:pt idx="7">
                  <c:v>25.2</c:v>
                </c:pt>
                <c:pt idx="8">
                  <c:v>21.6</c:v>
                </c:pt>
                <c:pt idx="9">
                  <c:v>16.2</c:v>
                </c:pt>
                <c:pt idx="10">
                  <c:v>22.3</c:v>
                </c:pt>
                <c:pt idx="11">
                  <c:v>14.1</c:v>
                </c:pt>
                <c:pt idx="12">
                  <c:v>23.1</c:v>
                </c:pt>
                <c:pt idx="13">
                  <c:v>21.8</c:v>
                </c:pt>
                <c:pt idx="14">
                  <c:v>26.9</c:v>
                </c:pt>
                <c:pt idx="15">
                  <c:v>24.3</c:v>
                </c:pt>
                <c:pt idx="16">
                  <c:v>20.5</c:v>
                </c:pt>
                <c:pt idx="17">
                  <c:v>16.100000000000001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Richmondshire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36</c:v>
                </c:pt>
                <c:pt idx="1">
                  <c:v>27.4</c:v>
                </c:pt>
                <c:pt idx="2">
                  <c:v>54.199999999999996</c:v>
                </c:pt>
                <c:pt idx="3">
                  <c:v>42.499999999999993</c:v>
                </c:pt>
                <c:pt idx="4">
                  <c:v>33.299999999999997</c:v>
                </c:pt>
                <c:pt idx="5">
                  <c:v>21.699999999999996</c:v>
                </c:pt>
                <c:pt idx="6">
                  <c:v>28.099999999999994</c:v>
                </c:pt>
                <c:pt idx="7">
                  <c:v>31.1</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Richmondshire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9.6956810027875164</c:v>
                </c:pt>
                <c:pt idx="1">
                  <c:v>0</c:v>
                </c:pt>
                <c:pt idx="2">
                  <c:v>10.715979012483501</c:v>
                </c:pt>
                <c:pt idx="3">
                  <c:v>10.349827220955802</c:v>
                </c:pt>
                <c:pt idx="4">
                  <c:v>10.157946157186281</c:v>
                </c:pt>
                <c:pt idx="5">
                  <c:v>19.664785927646864</c:v>
                </c:pt>
                <c:pt idx="6">
                  <c:v>18.112562189054728</c:v>
                </c:pt>
                <c:pt idx="7">
                  <c:v>7.3297073297073299</c:v>
                </c:pt>
                <c:pt idx="8">
                  <c:v>30.778618501342446</c:v>
                </c:pt>
                <c:pt idx="9">
                  <c:v>0</c:v>
                </c:pt>
                <c:pt idx="10">
                  <c:v>20.106238698010852</c:v>
                </c:pt>
                <c:pt idx="11">
                  <c:v>0</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Richmondshire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56.8</c:v>
                </c:pt>
                <c:pt idx="1">
                  <c:v>55.2</c:v>
                </c:pt>
                <c:pt idx="2">
                  <c:v>60.2</c:v>
                </c:pt>
                <c:pt idx="3">
                  <c:v>59.5</c:v>
                </c:pt>
                <c:pt idx="4">
                  <c:v>50.9</c:v>
                </c:pt>
                <c:pt idx="5">
                  <c:v>54.099999999999994</c:v>
                </c:pt>
                <c:pt idx="6">
                  <c:v>53.8</c:v>
                </c:pt>
                <c:pt idx="7">
                  <c:v>60</c:v>
                </c:pt>
                <c:pt idx="8">
                  <c:v>64.900000000000006</c:v>
                </c:pt>
                <c:pt idx="9">
                  <c:v>70.099999999999994</c:v>
                </c:pt>
                <c:pt idx="10">
                  <c:v>43.9</c:v>
                </c:pt>
                <c:pt idx="11">
                  <c:v>51.7</c:v>
                </c:pt>
                <c:pt idx="12">
                  <c:v>44.4</c:v>
                </c:pt>
                <c:pt idx="13">
                  <c:v>61.7</c:v>
                </c:pt>
                <c:pt idx="14">
                  <c:v>57.699999999999996</c:v>
                </c:pt>
                <c:pt idx="15">
                  <c:v>58.3</c:v>
                </c:pt>
                <c:pt idx="16">
                  <c:v>53.599999999999994</c:v>
                </c:pt>
                <c:pt idx="17">
                  <c:v>57.999999999999993</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Richmondshire from 2004 to 2021 follows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Richmondshire, it remains below that seen for England and 'Rural as a Region'.</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Richmondshire was above that for both England and Rural as a Region in both 2017 and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Richmondshire's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Richmondshire has been in line with or above that seen for England or 'Rural as a Region' in the period 2014 to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Richmondshire in comparison to England or 'Rural as a Region' is difficult to assess due to lack of data between 2017 and 2020.</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129540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0363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proportion for Richmondshire in the period 2004 to 2021 roughly followed the rural and England situations, however with a number of years, 2012 to 2016, where there was notable deviance.</a:t>
          </a:r>
          <a:endParaRPr lang="en-GB" sz="1100">
            <a:latin typeface="Avenir Next LT Pro" panose="020B0504020202020204" pitchFamily="34" charset="0"/>
          </a:endParaRPr>
        </a:p>
      </xdr:txBody>
    </xdr:sp>
    <xdr:clientData/>
  </xdr:twoCellAnchor>
  <xdr:twoCellAnchor>
    <xdr:from>
      <xdr:col>0</xdr:col>
      <xdr:colOff>601980</xdr:colOff>
      <xdr:row>12</xdr:row>
      <xdr:rowOff>464820</xdr:rowOff>
    </xdr:from>
    <xdr:to>
      <xdr:col>1</xdr:col>
      <xdr:colOff>2583180</xdr:colOff>
      <xdr:row>14</xdr:row>
      <xdr:rowOff>182880</xdr:rowOff>
    </xdr:to>
    <xdr:sp macro="" textlink="">
      <xdr:nvSpPr>
        <xdr:cNvPr id="20" name="TextBox 19">
          <a:extLst>
            <a:ext uri="{FF2B5EF4-FFF2-40B4-BE49-F238E27FC236}">
              <a16:creationId xmlns:a16="http://schemas.microsoft.com/office/drawing/2014/main" id="{CFC6EE3F-B7B2-49DD-96CF-3F39D1A418A3}"/>
            </a:ext>
          </a:extLst>
        </xdr:cNvPr>
        <xdr:cNvSpPr txBox="1"/>
      </xdr:nvSpPr>
      <xdr:spPr>
        <a:xfrm>
          <a:off x="601980" y="3451860"/>
          <a:ext cx="6682740" cy="1013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Richmondshire was in 2004 14% lower than the rural situation.  The gap widened to 29% in 2019 due to limited growth for Richmondshire in comparison to rural.</a:t>
          </a:r>
          <a:endParaRPr lang="en-GB" sz="1100">
            <a:latin typeface="Avenir Next LT Pro" panose="020B0504020202020204" pitchFamily="34" charset="0"/>
          </a:endParaRPr>
        </a:p>
      </xdr:txBody>
    </xdr:sp>
    <xdr:clientData/>
  </xdr:twoCellAnchor>
  <xdr:twoCellAnchor>
    <xdr:from>
      <xdr:col>0</xdr:col>
      <xdr:colOff>601980</xdr:colOff>
      <xdr:row>20</xdr:row>
      <xdr:rowOff>609600</xdr:rowOff>
    </xdr:from>
    <xdr:to>
      <xdr:col>1</xdr:col>
      <xdr:colOff>2583180</xdr:colOff>
      <xdr:row>22</xdr:row>
      <xdr:rowOff>137160</xdr:rowOff>
    </xdr:to>
    <xdr:sp macro="" textlink="">
      <xdr:nvSpPr>
        <xdr:cNvPr id="21" name="TextBox 20">
          <a:extLst>
            <a:ext uri="{FF2B5EF4-FFF2-40B4-BE49-F238E27FC236}">
              <a16:creationId xmlns:a16="http://schemas.microsoft.com/office/drawing/2014/main" id="{DB408C21-28BC-40C9-845D-EB254C4411A7}"/>
            </a:ext>
          </a:extLst>
        </xdr:cNvPr>
        <xdr:cNvSpPr txBox="1"/>
      </xdr:nvSpPr>
      <xdr:spPr>
        <a:xfrm>
          <a:off x="60198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Richmondshire has fluctuated a little over the years, but has generally followed the path and trajectory of 'Rural as a Region'.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291</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Richmondshire</v>
      </c>
      <c r="G12" s="88" t="str">
        <f>IFERROR(VLOOKUP(F12,GVA!B244:B552,1,FALSE),VLOOKUP(F12,GVA!B6:C230,2,FALSE))</f>
        <v>Richmondshire</v>
      </c>
      <c r="H12" s="89" t="str">
        <f>IF(F12=G12,"",G12)</f>
        <v/>
      </c>
      <c r="I12" s="76">
        <f>IFERROR(VLOOKUP($F12,GVA!$B$7:$S$230,GVA!D$3,FALSE),VLOOKUP($F12,GVA!$B$244:$T$554,GVA!E$3,FALSE))</f>
        <v>20.37</v>
      </c>
      <c r="J12" s="77">
        <f>IFERROR(VLOOKUP($F12,GVA!$B$7:$S$230,GVA!E$3,FALSE),VLOOKUP($F12,GVA!$B$244:$T$554,GVA!F$3,FALSE))</f>
        <v>20.54</v>
      </c>
      <c r="K12" s="77">
        <f>IFERROR(VLOOKUP($F12,GVA!$B$7:$S$230,GVA!F$3,FALSE),VLOOKUP($F12,GVA!$B$244:$T$554,GVA!G$3,FALSE))</f>
        <v>20.28</v>
      </c>
      <c r="L12" s="77">
        <f>IFERROR(VLOOKUP($F12,GVA!$B$7:$S$230,GVA!G$3,FALSE),VLOOKUP($F12,GVA!$B$244:$T$554,GVA!H$3,FALSE))</f>
        <v>20.399999999999999</v>
      </c>
      <c r="M12" s="77">
        <f>IFERROR(VLOOKUP($F12,GVA!$B$7:$S$230,GVA!H$3,FALSE),VLOOKUP($F12,GVA!$B$244:$T$554,GVA!I$3,FALSE))</f>
        <v>20.04</v>
      </c>
      <c r="N12" s="77">
        <f>IFERROR(VLOOKUP($F12,GVA!$B$7:$S$230,GVA!I$3,FALSE),VLOOKUP($F12,GVA!$B$244:$T$554,GVA!J$3,FALSE))</f>
        <v>20.07</v>
      </c>
      <c r="O12" s="77">
        <f>IFERROR(VLOOKUP($F12,GVA!$B$7:$S$230,GVA!J$3,FALSE),VLOOKUP($F12,GVA!$B$244:$T$554,GVA!K$3,FALSE))</f>
        <v>20.58</v>
      </c>
      <c r="P12" s="77">
        <f>IFERROR(VLOOKUP($F12,GVA!$B$7:$S$230,GVA!K$3,FALSE),VLOOKUP($F12,GVA!$B$244:$T$554,GVA!L$3,FALSE))</f>
        <v>21.52</v>
      </c>
      <c r="Q12" s="77">
        <f>IFERROR(VLOOKUP($F12,GVA!$B$7:$S$230,GVA!L$3,FALSE),VLOOKUP($F12,GVA!$B$244:$T$554,GVA!M$3,FALSE))</f>
        <v>21.85</v>
      </c>
      <c r="R12" s="77">
        <f>IFERROR(VLOOKUP($F12,GVA!$B$7:$S$230,GVA!M$3,FALSE),VLOOKUP($F12,GVA!$B$244:$T$554,GVA!N$3,FALSE))</f>
        <v>22.05</v>
      </c>
      <c r="S12" s="77">
        <f>IFERROR(VLOOKUP($F12,GVA!$B$7:$S$230,GVA!N$3,FALSE),VLOOKUP($F12,GVA!$B$244:$T$554,GVA!O$3,FALSE))</f>
        <v>22.71</v>
      </c>
      <c r="T12" s="77">
        <f>IFERROR(VLOOKUP($F12,GVA!$B$7:$S$230,GVA!O$3,FALSE),VLOOKUP($F12,GVA!$B$244:$T$554,GVA!P$3,FALSE))</f>
        <v>23.28</v>
      </c>
      <c r="U12" s="77">
        <f>IFERROR(VLOOKUP($F12,GVA!$B$7:$S$230,GVA!P$3,FALSE),VLOOKUP($F12,GVA!$B$244:$T$554,GVA!Q$3,FALSE))</f>
        <v>23.23</v>
      </c>
      <c r="V12" s="77">
        <f>IFERROR(VLOOKUP($F12,GVA!$B$7:$S$230,GVA!Q$3,FALSE),VLOOKUP($F12,GVA!$B$244:$T$554,GVA!R$3,FALSE))</f>
        <v>22.3</v>
      </c>
      <c r="W12" s="77">
        <f>IFERROR(VLOOKUP($F12,GVA!$B$7:$S$230,GVA!R$3,FALSE),VLOOKUP($F12,GVA!$B$244:$T$554,GVA!S$3,FALSE))</f>
        <v>21.8</v>
      </c>
      <c r="X12" s="77">
        <f>IFERROR(VLOOKUP($F12,GVA!$B$7:$S$230,GVA!S$3,FALSE),VLOOKUP($F12,GVA!$B$244:$T$554,GVA!T$3,FALSE))</f>
        <v>21.64</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Richmondshire to Rural as a Region</v>
      </c>
      <c r="G15" s="122"/>
      <c r="H15" s="123"/>
      <c r="I15" s="74">
        <f>100*((I12-I13)/I13)</f>
        <v>-13.466877721417797</v>
      </c>
      <c r="J15" s="74">
        <f t="shared" ref="J15:X15" si="0">100*((J12-J13)/J13)</f>
        <v>-12.501774955879675</v>
      </c>
      <c r="K15" s="74">
        <f t="shared" si="0"/>
        <v>-16.556700121967392</v>
      </c>
      <c r="L15" s="74">
        <f t="shared" si="0"/>
        <v>-17.869672744004166</v>
      </c>
      <c r="M15" s="74">
        <f t="shared" si="0"/>
        <v>-20.67966243055653</v>
      </c>
      <c r="N15" s="74">
        <f t="shared" si="0"/>
        <v>-21.209883582354617</v>
      </c>
      <c r="O15" s="74">
        <f t="shared" si="0"/>
        <v>-20.201996888804757</v>
      </c>
      <c r="P15" s="74">
        <f t="shared" si="0"/>
        <v>-17.78302337322107</v>
      </c>
      <c r="Q15" s="74">
        <f t="shared" si="0"/>
        <v>-18.19762000267416</v>
      </c>
      <c r="R15" s="74">
        <f t="shared" si="0"/>
        <v>-18.856046367973537</v>
      </c>
      <c r="S15" s="74">
        <f t="shared" si="0"/>
        <v>-17.790792382577692</v>
      </c>
      <c r="T15" s="74">
        <f t="shared" si="0"/>
        <v>-17.294581380792053</v>
      </c>
      <c r="U15" s="74">
        <f t="shared" si="0"/>
        <v>-19.443836668304201</v>
      </c>
      <c r="V15" s="74">
        <f t="shared" si="0"/>
        <v>-24.715149810099863</v>
      </c>
      <c r="W15" s="74">
        <f t="shared" si="0"/>
        <v>-27.896711803409026</v>
      </c>
      <c r="X15" s="74">
        <f t="shared" si="0"/>
        <v>-29.168338976974734</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Richmondshire</v>
      </c>
      <c r="G20" s="88"/>
      <c r="H20" s="89"/>
      <c r="I20" s="80">
        <f>IF(VLOOKUP($F20,PAY!$A$11:$AE$349,4,FALSE)="-",#N/A,VLOOKUP($F20,PAY!$A$11:$AE$349,4,FALSE))</f>
        <v>414.7</v>
      </c>
      <c r="J20" s="80">
        <f>IF(VLOOKUP($F20,PAY!$A$11:$AE$349,6,FALSE)="-",#N/A,VLOOKUP($F20,PAY!$A$11:$AE$349,6,FALSE))</f>
        <v>412.1</v>
      </c>
      <c r="K20" s="80">
        <f>IF(VLOOKUP($F20,PAY!$A$11:$AE$349,8,FALSE)="-",#N/A,VLOOKUP($F20,PAY!$A$11:$AE$349,8,FALSE))</f>
        <v>357.3</v>
      </c>
      <c r="L20" s="80">
        <f>IF(VLOOKUP($F20,PAY!$A$11:$AE$349,10,FALSE)="-",#N/A,VLOOKUP($F20,PAY!$A$11:$AE$349,10,FALSE))</f>
        <v>445</v>
      </c>
      <c r="M20" s="80">
        <f>IF(VLOOKUP($F20,PAY!$A$11:$AE$349,12,FALSE)="-",#N/A,VLOOKUP($F20,PAY!$A$11:$AE$349,12,FALSE))</f>
        <v>456.7</v>
      </c>
      <c r="N20" s="80">
        <f>IF(VLOOKUP($F20,PAY!$A$11:$AE$349,14,FALSE)="-",#N/A,VLOOKUP($F20,PAY!$A$11:$AE$349,14,FALSE))</f>
        <v>464.5</v>
      </c>
      <c r="O20" s="80">
        <f>IF(VLOOKUP($F20,PAY!$A$11:$AE$349,16,FALSE)="-",#N/A,VLOOKUP($F20,PAY!$A$11:$AE$349,16,FALSE))</f>
        <v>472</v>
      </c>
      <c r="P20" s="80">
        <f>IF(VLOOKUP($F20,PAY!$A$11:$AE$349,18,FALSE)="-",#N/A,VLOOKUP($F20,PAY!$A$11:$AE$349,18,FALSE))</f>
        <v>445.3</v>
      </c>
      <c r="Q20" s="80">
        <f>IF(VLOOKUP($F20,PAY!$A$11:$AE$349,20,FALSE)="-",#N/A,VLOOKUP($F20,PAY!$A$11:$AE$349,20,FALSE))</f>
        <v>447</v>
      </c>
      <c r="R20" s="80">
        <f>IF(VLOOKUP($F20,PAY!$A$11:$AE$349,22,FALSE)="-",#N/A,VLOOKUP($F20,PAY!$A$11:$AE$349,22,FALSE))</f>
        <v>484.9</v>
      </c>
      <c r="S20" s="80">
        <f>IF(VLOOKUP($F20,PAY!$A$11:$AE$349,24,FALSE)="-",#N/A,VLOOKUP($F20,PAY!$A$11:$AE$349,24,FALSE))</f>
        <v>511.8</v>
      </c>
      <c r="T20" s="80">
        <f>IF(VLOOKUP($F20,PAY!$A$11:$AE$349,26,FALSE)="-",#N/A,VLOOKUP($F20,PAY!$A$11:$AE$349,26,FALSE))</f>
        <v>519.4</v>
      </c>
      <c r="U20" s="80">
        <f>IF(VLOOKUP($F20,PAY!$A$11:$AE$349,28,FALSE)="-",#N/A,VLOOKUP($F20,PAY!$A$11:$AE$349,28,FALSE))</f>
        <v>487.5</v>
      </c>
      <c r="V20" s="80">
        <f>IF(VLOOKUP($F20,PAY!$A$11:$AE$349,30,FALSE)="-",#N/A,VLOOKUP($F20,PAY!$A$11:$AE$349,30,FALSE))</f>
        <v>562.29999999999995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Richmondshire to Rural as a Region</v>
      </c>
      <c r="G23" s="122"/>
      <c r="H23" s="123"/>
      <c r="I23" s="74">
        <f>100*((I20-I21)/I21)</f>
        <v>-4.2246480190841487</v>
      </c>
      <c r="J23" s="74">
        <f t="shared" ref="J23:V23" si="2">100*((J20-J21)/J21)</f>
        <v>-5.6817531612977028</v>
      </c>
      <c r="K23" s="74">
        <f t="shared" si="2"/>
        <v>-20.265586468140658</v>
      </c>
      <c r="L23" s="74">
        <f t="shared" si="2"/>
        <v>-1.2544380027863729</v>
      </c>
      <c r="M23" s="74">
        <f t="shared" si="2"/>
        <v>0.32004048470421831</v>
      </c>
      <c r="N23" s="74">
        <f t="shared" si="2"/>
        <v>0.28668565150612585</v>
      </c>
      <c r="O23" s="74">
        <f t="shared" si="2"/>
        <v>0.25434620120774215</v>
      </c>
      <c r="P23" s="74">
        <f t="shared" si="2"/>
        <v>-6.2173928111562251</v>
      </c>
      <c r="Q23" s="74">
        <f t="shared" si="2"/>
        <v>-8.6790227856350519</v>
      </c>
      <c r="R23" s="74">
        <f t="shared" si="2"/>
        <v>-3.8005549905199323</v>
      </c>
      <c r="S23" s="74">
        <f t="shared" si="2"/>
        <v>-0.51039639285112048</v>
      </c>
      <c r="T23" s="74">
        <f t="shared" si="2"/>
        <v>-2.6791908223605647</v>
      </c>
      <c r="U23" s="74">
        <f t="shared" si="2"/>
        <v>-8.2004219887923053</v>
      </c>
      <c r="V23" s="74">
        <f t="shared" si="2"/>
        <v>-0.34633624509165306</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Richmondshire</v>
      </c>
      <c r="G28" s="88"/>
      <c r="H28" s="89"/>
      <c r="I28" s="76">
        <f>VLOOKUP($F28,EMPLOYMENT!$A$6:$BW$345,6,FALSE)</f>
        <v>75.3</v>
      </c>
      <c r="J28" s="77">
        <f>VLOOKUP($F28,EMPLOYMENT!$A$6:$BW$345,10,FALSE)</f>
        <v>74.5</v>
      </c>
      <c r="K28" s="77">
        <f>VLOOKUP($F28,EMPLOYMENT!$A$6:$BW$345,14,FALSE)</f>
        <v>81.7</v>
      </c>
      <c r="L28" s="77">
        <f>VLOOKUP($F28,EMPLOYMENT!$A$6:$BW$345,18,FALSE)</f>
        <v>75.2</v>
      </c>
      <c r="M28" s="77">
        <f>VLOOKUP($F28,EMPLOYMENT!$A$6:$BW$345,22,FALSE)</f>
        <v>85.6</v>
      </c>
      <c r="N28" s="77">
        <f>VLOOKUP($F28,EMPLOYMENT!$A$6:$BW$345,26,FALSE)</f>
        <v>77.7</v>
      </c>
      <c r="O28" s="77">
        <f>VLOOKUP($F28,EMPLOYMENT!$A$6:$BW$345,30,FALSE)</f>
        <v>76.599999999999994</v>
      </c>
      <c r="P28" s="77">
        <f>VLOOKUP($F28,EMPLOYMENT!$A$6:$BW$345,34,FALSE)</f>
        <v>69.5</v>
      </c>
      <c r="Q28" s="77">
        <f>VLOOKUP($F28,EMPLOYMENT!$A$6:$BW$345,38,FALSE)</f>
        <v>72.5</v>
      </c>
      <c r="R28" s="77">
        <f>VLOOKUP($F28,EMPLOYMENT!$A$6:$BW$345,42,FALSE)</f>
        <v>81.599999999999994</v>
      </c>
      <c r="S28" s="77">
        <f>VLOOKUP($F28,EMPLOYMENT!$A$6:$BW$345,46,FALSE)</f>
        <v>73.3</v>
      </c>
      <c r="T28" s="77">
        <f>VLOOKUP($F28,EMPLOYMENT!$A$6:$BW$345,50,FALSE)</f>
        <v>84.8</v>
      </c>
      <c r="U28" s="77">
        <f>VLOOKUP($F28,EMPLOYMENT!$A$6:$BW$345,54,FALSE)</f>
        <v>76.900000000000006</v>
      </c>
      <c r="V28" s="77">
        <f>VLOOKUP($F28,EMPLOYMENT!$A$6:$BW$345,58,FALSE)</f>
        <v>74.400000000000006</v>
      </c>
      <c r="W28" s="77">
        <f>VLOOKUP($F28,EMPLOYMENT!$A$6:$BW$345,62,FALSE)</f>
        <v>71.2</v>
      </c>
      <c r="X28" s="77">
        <f>VLOOKUP($F28,EMPLOYMENT!$A$6:$BW$345,66,FALSE)</f>
        <v>75.7</v>
      </c>
      <c r="Y28" s="77">
        <f>VLOOKUP($F28,EMPLOYMENT!$A$6:$BW$345,70,FALSE)</f>
        <v>79.5</v>
      </c>
      <c r="Z28" s="77">
        <f>VLOOKUP($F28,EMPLOYMENT!$A$6:$BW$345,74,FALSE)</f>
        <v>83.9</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Richmondshire to Rural as a Region</v>
      </c>
      <c r="G31" s="122"/>
      <c r="H31" s="123"/>
      <c r="I31" s="74">
        <f>(I28-I29)</f>
        <v>-0.81134191940174105</v>
      </c>
      <c r="J31" s="74">
        <f t="shared" ref="J31:Z31" si="4">(J28-J29)</f>
        <v>-1.8129754666829569</v>
      </c>
      <c r="K31" s="74">
        <f t="shared" si="4"/>
        <v>5.8268111005132397</v>
      </c>
      <c r="L31" s="74">
        <f t="shared" si="4"/>
        <v>-0.44046830262783487</v>
      </c>
      <c r="M31" s="74">
        <f t="shared" si="4"/>
        <v>9.8644756266682521</v>
      </c>
      <c r="N31" s="74">
        <f t="shared" si="4"/>
        <v>3.1904601571268216</v>
      </c>
      <c r="O31" s="74">
        <f t="shared" si="4"/>
        <v>3.0528668610301253</v>
      </c>
      <c r="P31" s="74">
        <f t="shared" si="4"/>
        <v>-4.2342954032776134</v>
      </c>
      <c r="Q31" s="74">
        <f t="shared" si="4"/>
        <v>-1.5331574754625734</v>
      </c>
      <c r="R31" s="74">
        <f t="shared" si="4"/>
        <v>6.8555250700997874</v>
      </c>
      <c r="S31" s="74">
        <f t="shared" si="4"/>
        <v>-2.8088603400756114</v>
      </c>
      <c r="T31" s="74">
        <f t="shared" si="4"/>
        <v>7.6094680243909778</v>
      </c>
      <c r="U31" s="74">
        <f t="shared" si="4"/>
        <v>-7.1632481708036266E-2</v>
      </c>
      <c r="V31" s="74">
        <f t="shared" si="4"/>
        <v>-3.632786885245892</v>
      </c>
      <c r="W31" s="74">
        <f t="shared" si="4"/>
        <v>-6.8481568934141421</v>
      </c>
      <c r="X31" s="74">
        <f t="shared" si="4"/>
        <v>-2.8912993789567025</v>
      </c>
      <c r="Y31" s="74">
        <f t="shared" si="4"/>
        <v>2.4856537038707955</v>
      </c>
      <c r="Z31" s="74">
        <f t="shared" si="4"/>
        <v>7.7442419221209633</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Richmondshire</v>
      </c>
      <c r="G36" s="88" t="str">
        <f>IFERROR(VLOOKUP(F36,GDHI!B338:C574,2,FALSE),VLOOKUP(F36,GDHI!C3:C336,1,FALSE))</f>
        <v>Richmondshire</v>
      </c>
      <c r="H36" s="89" t="str">
        <f>IF(F36=G36,"",G36)</f>
        <v/>
      </c>
      <c r="I36" s="83">
        <f>IFERROR(VLOOKUP($F36,GDHI!$B$338:$U$574,GDHI!G$578,FALSE),VLOOKUP($F36,GDHI!$C$3:$U$336,GDHI!F$578,FALSE))</f>
        <v>13315</v>
      </c>
      <c r="J36" s="84">
        <f>IFERROR(VLOOKUP($F36,GDHI!$B$338:$U$574,GDHI!H$578,FALSE),VLOOKUP($F36,GDHI!$C$3:$U$336,GDHI!G$578,FALSE))</f>
        <v>13839</v>
      </c>
      <c r="K36" s="84">
        <f>IFERROR(VLOOKUP($F36,GDHI!$B$338:$U$574,GDHI!I$578,FALSE),VLOOKUP($F36,GDHI!$C$3:$U$336,GDHI!H$578,FALSE))</f>
        <v>14648</v>
      </c>
      <c r="L36" s="84">
        <f>IFERROR(VLOOKUP($F36,GDHI!$B$338:$U$574,GDHI!J$578,FALSE),VLOOKUP($F36,GDHI!$C$3:$U$336,GDHI!I$578,FALSE))</f>
        <v>15032</v>
      </c>
      <c r="M36" s="84">
        <f>IFERROR(VLOOKUP($F36,GDHI!$B$338:$U$574,GDHI!K$578,FALSE),VLOOKUP($F36,GDHI!$C$3:$U$336,GDHI!J$578,FALSE))</f>
        <v>15320</v>
      </c>
      <c r="N36" s="84">
        <f>IFERROR(VLOOKUP($F36,GDHI!$B$338:$U$574,GDHI!L$578,FALSE),VLOOKUP($F36,GDHI!$C$3:$U$336,GDHI!K$578,FALSE))</f>
        <v>16176</v>
      </c>
      <c r="O36" s="84">
        <f>IFERROR(VLOOKUP($F36,GDHI!$B$338:$U$574,GDHI!M$578,FALSE),VLOOKUP($F36,GDHI!$C$3:$U$336,GDHI!L$578,FALSE))</f>
        <v>16192</v>
      </c>
      <c r="P36" s="84">
        <f>IFERROR(VLOOKUP($F36,GDHI!$B$338:$U$574,GDHI!N$578,FALSE),VLOOKUP($F36,GDHI!$C$3:$U$336,GDHI!M$578,FALSE))</f>
        <v>16351</v>
      </c>
      <c r="Q36" s="84">
        <f>IFERROR(VLOOKUP($F36,GDHI!$B$338:$U$574,GDHI!O$578,FALSE),VLOOKUP($F36,GDHI!$C$3:$U$336,GDHI!N$578,FALSE))</f>
        <v>16976</v>
      </c>
      <c r="R36" s="84">
        <f>IFERROR(VLOOKUP($F36,GDHI!$B$338:$U$574,GDHI!P$578,FALSE),VLOOKUP($F36,GDHI!$C$3:$U$336,GDHI!O$578,FALSE))</f>
        <v>17351</v>
      </c>
      <c r="S36" s="84">
        <f>IFERROR(VLOOKUP($F36,GDHI!$B$338:$U$574,GDHI!Q$578,FALSE),VLOOKUP($F36,GDHI!$C$3:$U$336,GDHI!P$578,FALSE))</f>
        <v>17674</v>
      </c>
      <c r="T36" s="84">
        <f>IFERROR(VLOOKUP($F36,GDHI!$B$338:$U$574,GDHI!R$578,FALSE),VLOOKUP($F36,GDHI!$C$3:$U$336,GDHI!Q$578,FALSE))</f>
        <v>18880</v>
      </c>
      <c r="U36" s="84">
        <f>IFERROR(VLOOKUP($F36,GDHI!$B$338:$U$574,GDHI!S$578,FALSE),VLOOKUP($F36,GDHI!$C$3:$U$336,GDHI!R$578,FALSE))</f>
        <v>18619</v>
      </c>
      <c r="V36" s="84">
        <f>IFERROR(VLOOKUP($F36,GDHI!$B$338:$U$574,GDHI!T$578,FALSE),VLOOKUP($F36,GDHI!$C$3:$U$336,GDHI!S$578,FALSE))</f>
        <v>19133</v>
      </c>
      <c r="W36" s="84">
        <f>IFERROR(VLOOKUP($F36,GDHI!$B$338:$U$574,GDHI!U$578,FALSE),VLOOKUP($F36,GDHI!$C$3:$U$336,GDHI!T$578,FALSE))</f>
        <v>20534</v>
      </c>
      <c r="X36" s="84">
        <f>IFERROR(VLOOKUP($F36,GDHI!$B$338:$U$574,GDHI!V$578,FALSE),VLOOKUP($F36,GDHI!$C$3:$U$336,GDHI!U$578,FALSE))</f>
        <v>21033</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Richmondshire to Rural as a Region</v>
      </c>
      <c r="G39" s="122"/>
      <c r="H39" s="123"/>
      <c r="I39" s="74">
        <f>100*((I36-I37)/I37)</f>
        <v>-9.4802678541078897</v>
      </c>
      <c r="J39" s="74">
        <f t="shared" ref="J39:X39" si="6">100*((J36-J37)/J37)</f>
        <v>-9.7933468406843946</v>
      </c>
      <c r="K39" s="74">
        <f t="shared" si="6"/>
        <v>-8.0140935728911753</v>
      </c>
      <c r="L39" s="74">
        <f t="shared" si="6"/>
        <v>-9.2718615073214838</v>
      </c>
      <c r="M39" s="74">
        <f t="shared" si="6"/>
        <v>-10.217027146009649</v>
      </c>
      <c r="N39" s="74">
        <f t="shared" si="6"/>
        <v>-6.458810206491103</v>
      </c>
      <c r="O39" s="74">
        <f t="shared" si="6"/>
        <v>-7.5161236583450401</v>
      </c>
      <c r="P39" s="74">
        <f t="shared" si="6"/>
        <v>-8.140695182730914</v>
      </c>
      <c r="Q39" s="74">
        <f t="shared" si="6"/>
        <v>-7.5701301681257185</v>
      </c>
      <c r="R39" s="74">
        <f t="shared" si="6"/>
        <v>-8.0690117578344083</v>
      </c>
      <c r="S39" s="74">
        <f t="shared" si="6"/>
        <v>-8.8782869842696108</v>
      </c>
      <c r="T39" s="74">
        <f t="shared" si="6"/>
        <v>-7.7149750189409074</v>
      </c>
      <c r="U39" s="74">
        <f t="shared" si="6"/>
        <v>-9.7256437547763621</v>
      </c>
      <c r="V39" s="74">
        <f t="shared" si="6"/>
        <v>-8.7404981315665609</v>
      </c>
      <c r="W39" s="74">
        <f t="shared" si="6"/>
        <v>-5.9879501918006</v>
      </c>
      <c r="X39" s="74">
        <f t="shared" si="6"/>
        <v>-5.5339039101820076</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Richmondshire</v>
      </c>
      <c r="G44" s="88"/>
      <c r="H44" s="89"/>
      <c r="I44" s="76">
        <f>VLOOKUP($F44,'LOW PAID'!$A$9:$N$444,6,FALSE)</f>
        <v>27.5</v>
      </c>
      <c r="J44" s="77">
        <f>VLOOKUP($F44,'LOW PAID'!$P$9:$W$444,6,FALSE)</f>
        <v>28.8</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Richmondshire to Rural as a Region</v>
      </c>
      <c r="G47" s="122"/>
      <c r="H47" s="123"/>
      <c r="I47" s="74">
        <f>(I44-I45)</f>
        <v>2.3061253217868831</v>
      </c>
      <c r="J47" s="74">
        <f>(J44-J45)</f>
        <v>3.1138834909699469</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Richmondshire</v>
      </c>
      <c r="G52" s="88"/>
      <c r="H52" s="89"/>
      <c r="I52" s="76">
        <f>VLOOKUP($F52,INACTIVITY!$A$6:$BW$345,6,FALSE)</f>
        <v>21.1</v>
      </c>
      <c r="J52" s="77">
        <f>VLOOKUP($F52,INACTIVITY!$A$6:$BW$345,10,FALSE)</f>
        <v>23.6</v>
      </c>
      <c r="K52" s="77">
        <f>VLOOKUP($F52,INACTIVITY!$A$6:$BW$345,14,FALSE)</f>
        <v>17.399999999999999</v>
      </c>
      <c r="L52" s="77">
        <f>VLOOKUP($F52,INACTIVITY!$A$6:$BW$345,18,FALSE)</f>
        <v>21.5</v>
      </c>
      <c r="M52" s="77">
        <f>VLOOKUP($F52,INACTIVITY!$A$6:$BW$345,22,FALSE)</f>
        <v>13.2</v>
      </c>
      <c r="N52" s="77">
        <f>VLOOKUP($F52,INACTIVITY!$A$6:$BW$345,26,FALSE)</f>
        <v>17.399999999999999</v>
      </c>
      <c r="O52" s="77">
        <f>VLOOKUP($F52,INACTIVITY!$A$6:$BW$345,30,FALSE)</f>
        <v>20.6</v>
      </c>
      <c r="P52" s="77">
        <f>VLOOKUP($F52,INACTIVITY!$A$6:$BW$345,34,FALSE)</f>
        <v>25.2</v>
      </c>
      <c r="Q52" s="77">
        <f>VLOOKUP($F52,INACTIVITY!$A$6:$BW$345,38,FALSE)</f>
        <v>21.6</v>
      </c>
      <c r="R52" s="77">
        <f>VLOOKUP($F52,INACTIVITY!$A$6:$BW$345,42,FALSE)</f>
        <v>16.2</v>
      </c>
      <c r="S52" s="77">
        <f>VLOOKUP($F52,INACTIVITY!$A$6:$BW$345,46,FALSE)</f>
        <v>22.3</v>
      </c>
      <c r="T52" s="77">
        <f>VLOOKUP($F52,INACTIVITY!$A$6:$BW$345,50,FALSE)</f>
        <v>14.1</v>
      </c>
      <c r="U52" s="77">
        <f>VLOOKUP($F52,INACTIVITY!$A$6:$BW$345,54,FALSE)</f>
        <v>23.1</v>
      </c>
      <c r="V52" s="77">
        <f>VLOOKUP($F52,INACTIVITY!$A$6:$BW$345,58,FALSE)</f>
        <v>21.8</v>
      </c>
      <c r="W52" s="77">
        <f>VLOOKUP($F52,INACTIVITY!$A$6:$BW$345,62,FALSE)</f>
        <v>26.9</v>
      </c>
      <c r="X52" s="77">
        <f>VLOOKUP($F52,INACTIVITY!$A$6:$BW$345,66,FALSE)</f>
        <v>24.3</v>
      </c>
      <c r="Y52" s="77">
        <f>VLOOKUP($F52,INACTIVITY!$A$6:$BW$345,70,FALSE)</f>
        <v>20.5</v>
      </c>
      <c r="Z52" s="77">
        <f>VLOOKUP($F52,INACTIVITY!$A$6:$BW$345,74,FALSE)</f>
        <v>16.100000000000001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Richmondshire to Rural as a Region</v>
      </c>
      <c r="G55" s="122"/>
      <c r="H55" s="123"/>
      <c r="I55" s="74">
        <f>(I52-I53)</f>
        <v>-0.29564457161023583</v>
      </c>
      <c r="J55" s="74">
        <f t="shared" ref="J55:Z55" si="10">(J52-J53)</f>
        <v>2.5914772727272748</v>
      </c>
      <c r="K55" s="74">
        <f t="shared" si="10"/>
        <v>-3.4624653934587784</v>
      </c>
      <c r="L55" s="74">
        <f t="shared" si="10"/>
        <v>0.18593466846336071</v>
      </c>
      <c r="M55" s="74">
        <f t="shared" si="10"/>
        <v>-7.6350023108920055</v>
      </c>
      <c r="N55" s="74">
        <f t="shared" si="10"/>
        <v>-3.5331437579204419</v>
      </c>
      <c r="O55" s="74">
        <f t="shared" si="10"/>
        <v>-1.0919371275051724</v>
      </c>
      <c r="P55" s="74">
        <f t="shared" si="10"/>
        <v>3.7057542192465505</v>
      </c>
      <c r="Q55" s="74">
        <f t="shared" si="10"/>
        <v>0.41745120551090764</v>
      </c>
      <c r="R55" s="74">
        <f t="shared" si="10"/>
        <v>-4.5745930974387718</v>
      </c>
      <c r="S55" s="74">
        <f t="shared" si="10"/>
        <v>2.0267895440276007</v>
      </c>
      <c r="T55" s="74">
        <f t="shared" si="10"/>
        <v>-5.5961946834069582</v>
      </c>
      <c r="U55" s="74">
        <f t="shared" si="10"/>
        <v>3.2475706529305306</v>
      </c>
      <c r="V55" s="74">
        <f t="shared" si="10"/>
        <v>2.5467226657196242</v>
      </c>
      <c r="W55" s="74">
        <f t="shared" si="10"/>
        <v>7.7230439908171498</v>
      </c>
      <c r="X55" s="74">
        <f t="shared" si="10"/>
        <v>5.4479350506350706</v>
      </c>
      <c r="Y55" s="74">
        <f t="shared" si="10"/>
        <v>0.72741727812853796</v>
      </c>
      <c r="Z55" s="74">
        <f t="shared" si="10"/>
        <v>-4.9851797756300691</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Richmondshire</v>
      </c>
      <c r="G60" s="88"/>
      <c r="H60" s="89"/>
      <c r="I60" s="76">
        <f>VLOOKUP($F60,DISABILITY!$A$718:$I$1052,DISABILITY!B$1053,FALSE)</f>
        <v>36</v>
      </c>
      <c r="J60" s="77">
        <f>VLOOKUP($F60,DISABILITY!$A$718:$I$1052,DISABILITY!C$1053,FALSE)</f>
        <v>27.4</v>
      </c>
      <c r="K60" s="77">
        <f>VLOOKUP($F60,DISABILITY!$A$718:$I$1052,DISABILITY!D$1053,FALSE)</f>
        <v>54.199999999999996</v>
      </c>
      <c r="L60" s="77">
        <f>VLOOKUP($F60,DISABILITY!$A$718:$I$1052,DISABILITY!E$1053,FALSE)</f>
        <v>42.499999999999993</v>
      </c>
      <c r="M60" s="77">
        <f>VLOOKUP($F60,DISABILITY!$A$718:$I$1052,DISABILITY!F$1053,FALSE)</f>
        <v>33.299999999999997</v>
      </c>
      <c r="N60" s="77">
        <f>VLOOKUP($F60,DISABILITY!$A$718:$I$1052,DISABILITY!G$1053,FALSE)</f>
        <v>21.699999999999996</v>
      </c>
      <c r="O60" s="77">
        <f>VLOOKUP($F60,DISABILITY!$A$718:$I$1052,DISABILITY!H$1053,FALSE)</f>
        <v>28.099999999999994</v>
      </c>
      <c r="P60" s="77">
        <f>VLOOKUP($F60,DISABILITY!$A$718:$I$1052,DISABILITY!I$1053,FALSE)</f>
        <v>31.1</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Richmondshire to Rural as a Region</v>
      </c>
      <c r="G63" s="122"/>
      <c r="H63" s="123"/>
      <c r="I63" s="74">
        <f>(I60-I61)</f>
        <v>8.5798434593527517</v>
      </c>
      <c r="J63" s="74">
        <f t="shared" ref="J63:P63" si="12">(J60-J61)</f>
        <v>8.0955592948811272E-2</v>
      </c>
      <c r="K63" s="74">
        <f t="shared" si="12"/>
        <v>26.08087163850179</v>
      </c>
      <c r="L63" s="74">
        <f t="shared" si="12"/>
        <v>16.509065461003317</v>
      </c>
      <c r="M63" s="74">
        <f t="shared" si="12"/>
        <v>7.8247741813338791</v>
      </c>
      <c r="N63" s="74">
        <f t="shared" si="12"/>
        <v>-3.831247685441987</v>
      </c>
      <c r="O63" s="74">
        <f t="shared" si="12"/>
        <v>4.3027777120030493</v>
      </c>
      <c r="P63" s="74">
        <f t="shared" si="12"/>
        <v>5.7458220696578266</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Richmondshire</v>
      </c>
      <c r="G68" s="88"/>
      <c r="H68" s="89"/>
      <c r="I68" s="76">
        <f>VLOOKUP($F68,'WORKLESS HOUSEHOLDS'!$DW$4:$EC$397,7,FALSE)</f>
        <v>9.6956810027875164</v>
      </c>
      <c r="J68" s="77" t="str">
        <f>VLOOKUP($F68,'WORKLESS HOUSEHOLDS'!$DN$4:$DT$397,7,FALSE)</f>
        <v>*</v>
      </c>
      <c r="K68" s="77">
        <f>VLOOKUP($F68,'WORKLESS HOUSEHOLDS'!$DE$4:$DK$397,7,FALSE)</f>
        <v>10.715979012483501</v>
      </c>
      <c r="L68" s="77">
        <f>VLOOKUP($F68,'WORKLESS HOUSEHOLDS'!$CV$4:$DB$397,7,FALSE)</f>
        <v>10.349827220955802</v>
      </c>
      <c r="M68" s="77">
        <f>VLOOKUP($F68,'WORKLESS HOUSEHOLDS'!$CM$4:$CS$397,7,FALSE)</f>
        <v>10.157946157186281</v>
      </c>
      <c r="N68" s="77">
        <f>VLOOKUP($F68,'WORKLESS HOUSEHOLDS'!$CD$4:$CJ$397,7,FALSE)</f>
        <v>19.664785927646864</v>
      </c>
      <c r="O68" s="77">
        <f>VLOOKUP($F68,'WORKLESS HOUSEHOLDS'!$BU$4:$CA$397,7,FALSE)</f>
        <v>18.112562189054728</v>
      </c>
      <c r="P68" s="77">
        <f>VLOOKUP($F68,'WORKLESS HOUSEHOLDS'!$BL$4:$BR$397,7,FALSE)</f>
        <v>7.3297073297073299</v>
      </c>
      <c r="Q68" s="77">
        <f>VLOOKUP($F68,'WORKLESS HOUSEHOLDS'!$BC$4:$BI$397,7,FALSE)</f>
        <v>30.778618501342446</v>
      </c>
      <c r="R68" s="77" t="str">
        <f>VLOOKUP($F68,'WORKLESS HOUSEHOLDS'!$AT$4:$AZ$397,7,FALSE)</f>
        <v>#</v>
      </c>
      <c r="S68" s="77">
        <f>VLOOKUP($F68,'WORKLESS HOUSEHOLDS'!$AK$4:$AQ$397,7,FALSE)</f>
        <v>20.106238698010852</v>
      </c>
      <c r="T68" s="77" t="str">
        <f>VLOOKUP($F68,'WORKLESS HOUSEHOLDS'!$AB$4:$AH$397,7,FALSE)</f>
        <v>#</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Richmondshire to Rural as a Region</v>
      </c>
      <c r="G71" s="122"/>
      <c r="H71" s="123"/>
      <c r="I71" s="74">
        <f>(I68-I69)</f>
        <v>-0.3162648597991744</v>
      </c>
      <c r="J71" s="74" t="e">
        <f t="shared" ref="J71:W71" si="14">(J68-J69)</f>
        <v>#VALUE!</v>
      </c>
      <c r="K71" s="74">
        <f t="shared" si="14"/>
        <v>0.42273328332765736</v>
      </c>
      <c r="L71" s="74">
        <f t="shared" si="14"/>
        <v>-0.61617944037393002</v>
      </c>
      <c r="M71" s="74">
        <f t="shared" si="14"/>
        <v>-1.5358330240021925</v>
      </c>
      <c r="N71" s="74">
        <f t="shared" si="14"/>
        <v>7.7636862483914832</v>
      </c>
      <c r="O71" s="74">
        <f t="shared" si="14"/>
        <v>7.0773089413122161</v>
      </c>
      <c r="P71" s="74">
        <f t="shared" si="14"/>
        <v>-2.3617905560605079</v>
      </c>
      <c r="Q71" s="74">
        <f t="shared" si="14"/>
        <v>19.973440240944036</v>
      </c>
      <c r="R71" s="74" t="e">
        <f t="shared" si="14"/>
        <v>#VALUE!</v>
      </c>
      <c r="S71" s="74">
        <f t="shared" si="14"/>
        <v>9.9534938698619708</v>
      </c>
      <c r="T71" s="74" t="e">
        <f t="shared" si="14"/>
        <v>#VALUE!</v>
      </c>
      <c r="U71" s="74" t="e">
        <f t="shared" si="14"/>
        <v>#VALUE!</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Richmondshire</v>
      </c>
      <c r="G76" s="88"/>
      <c r="H76" s="89"/>
      <c r="I76" s="76">
        <f>VLOOKUP($F76,'SKILLED EMPLOYMENT'!$A$1506:$BW$1841,6,FALSE)</f>
        <v>56.8</v>
      </c>
      <c r="J76" s="77">
        <f>VLOOKUP($F76,'SKILLED EMPLOYMENT'!$A$1506:$BW$1841,10,FALSE)</f>
        <v>55.2</v>
      </c>
      <c r="K76" s="77">
        <f>VLOOKUP($F76,'SKILLED EMPLOYMENT'!$A$1506:$BW$1841,14,FALSE)</f>
        <v>60.2</v>
      </c>
      <c r="L76" s="77">
        <f>VLOOKUP($F76,'SKILLED EMPLOYMENT'!$A$1506:$BW$1841,18,FALSE)</f>
        <v>59.5</v>
      </c>
      <c r="M76" s="77">
        <f>VLOOKUP($F76,'SKILLED EMPLOYMENT'!$A$1506:$BW$1841,22,FALSE)</f>
        <v>50.9</v>
      </c>
      <c r="N76" s="77">
        <f>VLOOKUP($F76,'SKILLED EMPLOYMENT'!$A$1506:$BW$1841,26,FALSE)</f>
        <v>54.099999999999994</v>
      </c>
      <c r="O76" s="77">
        <f>VLOOKUP($F76,'SKILLED EMPLOYMENT'!$A$1506:$BW$1841,30,FALSE)</f>
        <v>53.8</v>
      </c>
      <c r="P76" s="77">
        <f>VLOOKUP($F76,'SKILLED EMPLOYMENT'!$A$1506:$BW$1841,34,FALSE)</f>
        <v>60</v>
      </c>
      <c r="Q76" s="77">
        <f>VLOOKUP($F76,'SKILLED EMPLOYMENT'!$A$1506:$BW$1841,38,FALSE)</f>
        <v>64.900000000000006</v>
      </c>
      <c r="R76" s="77">
        <f>VLOOKUP($F76,'SKILLED EMPLOYMENT'!$A$1506:$BW$1841,42,FALSE)</f>
        <v>70.099999999999994</v>
      </c>
      <c r="S76" s="77">
        <f>VLOOKUP($F76,'SKILLED EMPLOYMENT'!$A$1506:$BW$1841,46,FALSE)</f>
        <v>43.9</v>
      </c>
      <c r="T76" s="77">
        <f>VLOOKUP($F76,'SKILLED EMPLOYMENT'!$A$1506:$BW$1841,50,FALSE)</f>
        <v>51.7</v>
      </c>
      <c r="U76" s="77">
        <f>VLOOKUP($F76,'SKILLED EMPLOYMENT'!$A$1506:$BW$1841,54,FALSE)</f>
        <v>44.4</v>
      </c>
      <c r="V76" s="77">
        <f>VLOOKUP($F76,'SKILLED EMPLOYMENT'!$A$1506:$BW$1841,58,FALSE)</f>
        <v>61.7</v>
      </c>
      <c r="W76" s="77">
        <f>VLOOKUP($F76,'SKILLED EMPLOYMENT'!$A$1506:$BW$1841,62,FALSE)</f>
        <v>57.699999999999996</v>
      </c>
      <c r="X76" s="77">
        <f>VLOOKUP($F76,'SKILLED EMPLOYMENT'!$A$1506:$BW$1841,66,FALSE)</f>
        <v>58.3</v>
      </c>
      <c r="Y76" s="77">
        <f>VLOOKUP($F76,'SKILLED EMPLOYMENT'!$A$1506:$BW$1841,70,FALSE)</f>
        <v>53.599999999999994</v>
      </c>
      <c r="Z76" s="77">
        <f>VLOOKUP($F76,'SKILLED EMPLOYMENT'!$A$1506:$BW$1841,74,FALSE)</f>
        <v>57.999999999999993</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Richmondshire to Rural as a Region</v>
      </c>
      <c r="G79" s="122"/>
      <c r="H79" s="123"/>
      <c r="I79" s="74">
        <f>(I76-I77)</f>
        <v>4.0999999999999943</v>
      </c>
      <c r="J79" s="74">
        <f t="shared" ref="J79:Z79" si="17">(J76-J77)</f>
        <v>2.3000000000000043</v>
      </c>
      <c r="K79" s="74">
        <f t="shared" si="17"/>
        <v>6.7000000000000028</v>
      </c>
      <c r="L79" s="74">
        <f t="shared" si="17"/>
        <v>5.5</v>
      </c>
      <c r="M79" s="74">
        <f t="shared" si="17"/>
        <v>-3.2000000000000028</v>
      </c>
      <c r="N79" s="74">
        <f t="shared" si="17"/>
        <v>-0.30000000000000426</v>
      </c>
      <c r="O79" s="74">
        <f t="shared" si="17"/>
        <v>-1.6000000000000014</v>
      </c>
      <c r="P79" s="74">
        <f t="shared" si="17"/>
        <v>4.3999999999999986</v>
      </c>
      <c r="Q79" s="74">
        <f t="shared" si="17"/>
        <v>9.5000000000000071</v>
      </c>
      <c r="R79" s="74">
        <f t="shared" si="17"/>
        <v>13.899999999999991</v>
      </c>
      <c r="S79" s="74">
        <f t="shared" si="17"/>
        <v>-12.300000000000004</v>
      </c>
      <c r="T79" s="74">
        <f t="shared" si="17"/>
        <v>-5.0999999999999943</v>
      </c>
      <c r="U79" s="74">
        <f t="shared" si="17"/>
        <v>-12.200000000000003</v>
      </c>
      <c r="V79" s="74">
        <f t="shared" si="17"/>
        <v>4.6000000000000014</v>
      </c>
      <c r="W79" s="74">
        <f t="shared" si="17"/>
        <v>-0.10000000000000142</v>
      </c>
      <c r="X79" s="74">
        <f t="shared" si="17"/>
        <v>-0.5</v>
      </c>
      <c r="Y79" s="74">
        <f t="shared" si="17"/>
        <v>-5.1000000000000085</v>
      </c>
      <c r="Z79" s="74">
        <f t="shared" si="17"/>
        <v>-0.40000000000000568</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7LMafj/IwmBOcgoO7rgmrQEJN/P/9s9UDcA1WdLHKRp1/ltpZTsml8zuTPVjVhkGzgFoObQJUMxEP7TG+ejaXA==" saltValue="0vomPsu2QVyyazjyFUYEp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2022-08-02T13:08:02Z</dcterms:modified>
</cp:coreProperties>
</file>