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4" documentId="8_{2FD8C8B6-5009-40CB-A934-4DF4CB9E8E02}" xr6:coauthVersionLast="47" xr6:coauthVersionMax="47" xr10:uidLastSave="{EFF8E7BB-E8CF-4AEB-80B1-58B3A489B05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<sst xmlns="http://schemas.openxmlformats.org/spreadsheetml/2006/main" count="32859" uniqueCount="1676">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</sst>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Rother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19.899999999999999</c:v>
                </c:pt>
                <c:pt idx="1">
                  <c:v>19.89</c:v>
                </c:pt>
                <c:pt idx="2">
                  <c:v>19.86</c:v>
                </c:pt>
                <c:pt idx="3">
                  <c:v>19.649999999999999</c:v>
                </c:pt>
                <c:pt idx="4">
                  <c:v>19.41</c:v>
                </c:pt>
                <c:pt idx="5">
                  <c:v>19.45</c:v>
                </c:pt>
                <c:pt idx="6">
                  <c:v>19.95</c:v>
                </c:pt>
                <c:pt idx="7">
                  <c:v>20.52</c:v>
                </c:pt>
                <c:pt idx="8">
                  <c:v>21.03</c:v>
                </c:pt>
                <c:pt idx="9">
                  <c:v>21.27</c:v>
                </c:pt>
                <c:pt idx="10">
                  <c:v>21.9</c:v>
                </c:pt>
                <c:pt idx="11">
                  <c:v>22.81</c:v>
                </c:pt>
                <c:pt idx="12">
                  <c:v>24.19</c:v>
                </c:pt>
                <c:pt idx="13">
                  <c:v>25.09</c:v>
                </c:pt>
                <c:pt idx="14">
                  <c:v>25.64</c:v>
                </c:pt>
                <c:pt idx="15">
                  <c:v>25.66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Rother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398.1</c:v>
                </c:pt>
                <c:pt idx="1">
                  <c:v>419.3</c:v>
                </c:pt>
                <c:pt idx="2">
                  <c:v>400</c:v>
                </c:pt>
                <c:pt idx="3">
                  <c:v>424.7</c:v>
                </c:pt>
                <c:pt idx="4">
                  <c:v>427.4</c:v>
                </c:pt>
                <c:pt idx="5">
                  <c:v>370.7</c:v>
                </c:pt>
                <c:pt idx="6">
                  <c:v>381</c:v>
                </c:pt>
                <c:pt idx="7">
                  <c:v>415.2</c:v>
                </c:pt>
                <c:pt idx="8">
                  <c:v>431.2</c:v>
                </c:pt>
                <c:pt idx="9">
                  <c:v>438.4</c:v>
                </c:pt>
                <c:pt idx="10">
                  <c:v>414.5</c:v>
                </c:pt>
                <c:pt idx="11">
                  <c:v>475.6</c:v>
                </c:pt>
                <c:pt idx="12">
                  <c:v>433.6</c:v>
                </c:pt>
                <c:pt idx="13">
                  <c:v>532.20000000000005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Rother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78.2</c:v>
                </c:pt>
                <c:pt idx="1">
                  <c:v>76.8</c:v>
                </c:pt>
                <c:pt idx="2">
                  <c:v>78.400000000000006</c:v>
                </c:pt>
                <c:pt idx="3">
                  <c:v>75.900000000000006</c:v>
                </c:pt>
                <c:pt idx="4">
                  <c:v>70.8</c:v>
                </c:pt>
                <c:pt idx="5">
                  <c:v>74.099999999999994</c:v>
                </c:pt>
                <c:pt idx="6">
                  <c:v>71.599999999999994</c:v>
                </c:pt>
                <c:pt idx="7">
                  <c:v>64.8</c:v>
                </c:pt>
                <c:pt idx="8">
                  <c:v>67.900000000000006</c:v>
                </c:pt>
                <c:pt idx="9">
                  <c:v>69.599999999999994</c:v>
                </c:pt>
                <c:pt idx="10">
                  <c:v>67.7</c:v>
                </c:pt>
                <c:pt idx="11">
                  <c:v>75.2</c:v>
                </c:pt>
                <c:pt idx="12">
                  <c:v>73.099999999999994</c:v>
                </c:pt>
                <c:pt idx="13">
                  <c:v>74.7</c:v>
                </c:pt>
                <c:pt idx="14">
                  <c:v>69.2</c:v>
                </c:pt>
                <c:pt idx="15">
                  <c:v>78.900000000000006</c:v>
                </c:pt>
                <c:pt idx="16">
                  <c:v>81.099999999999994</c:v>
                </c:pt>
                <c:pt idx="17">
                  <c:v>76.7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Rother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14709</c:v>
                </c:pt>
                <c:pt idx="1">
                  <c:v>15343</c:v>
                </c:pt>
                <c:pt idx="2">
                  <c:v>15889</c:v>
                </c:pt>
                <c:pt idx="3">
                  <c:v>17122</c:v>
                </c:pt>
                <c:pt idx="4">
                  <c:v>17680</c:v>
                </c:pt>
                <c:pt idx="5">
                  <c:v>17729</c:v>
                </c:pt>
                <c:pt idx="6">
                  <c:v>18225</c:v>
                </c:pt>
                <c:pt idx="7">
                  <c:v>18275</c:v>
                </c:pt>
                <c:pt idx="8">
                  <c:v>18722</c:v>
                </c:pt>
                <c:pt idx="9">
                  <c:v>19643</c:v>
                </c:pt>
                <c:pt idx="10">
                  <c:v>19917</c:v>
                </c:pt>
                <c:pt idx="11">
                  <c:v>20987</c:v>
                </c:pt>
                <c:pt idx="12">
                  <c:v>21226</c:v>
                </c:pt>
                <c:pt idx="13">
                  <c:v>21242</c:v>
                </c:pt>
                <c:pt idx="14">
                  <c:v>22097</c:v>
                </c:pt>
                <c:pt idx="15">
                  <c:v>22585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Rother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32.1</c:v>
                </c:pt>
                <c:pt idx="1">
                  <c:v>32.799999999999997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Rother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18.899999999999999</c:v>
                </c:pt>
                <c:pt idx="1">
                  <c:v>19.399999999999999</c:v>
                </c:pt>
                <c:pt idx="2">
                  <c:v>17.100000000000001</c:v>
                </c:pt>
                <c:pt idx="3">
                  <c:v>22.8</c:v>
                </c:pt>
                <c:pt idx="4">
                  <c:v>23.3</c:v>
                </c:pt>
                <c:pt idx="5">
                  <c:v>22.9</c:v>
                </c:pt>
                <c:pt idx="6">
                  <c:v>22.6</c:v>
                </c:pt>
                <c:pt idx="7">
                  <c:v>29.5</c:v>
                </c:pt>
                <c:pt idx="8">
                  <c:v>24.2</c:v>
                </c:pt>
                <c:pt idx="9">
                  <c:v>26.5</c:v>
                </c:pt>
                <c:pt idx="10">
                  <c:v>31</c:v>
                </c:pt>
                <c:pt idx="11">
                  <c:v>23.4</c:v>
                </c:pt>
                <c:pt idx="12">
                  <c:v>24.3</c:v>
                </c:pt>
                <c:pt idx="13">
                  <c:v>22.1</c:v>
                </c:pt>
                <c:pt idx="14">
                  <c:v>28.6</c:v>
                </c:pt>
                <c:pt idx="15">
                  <c:v>18.399999999999999</c:v>
                </c:pt>
                <c:pt idx="16">
                  <c:v>15.6</c:v>
                </c:pt>
                <c:pt idx="17">
                  <c:v>17.5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Rother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34.5</c:v>
                </c:pt>
                <c:pt idx="1">
                  <c:v>30.4</c:v>
                </c:pt>
                <c:pt idx="2">
                  <c:v>28.700000000000003</c:v>
                </c:pt>
                <c:pt idx="3">
                  <c:v>27.800000000000004</c:v>
                </c:pt>
                <c:pt idx="4">
                  <c:v>31.4</c:v>
                </c:pt>
                <c:pt idx="5">
                  <c:v>23.700000000000003</c:v>
                </c:pt>
                <c:pt idx="6">
                  <c:v>38.200000000000003</c:v>
                </c:pt>
                <c:pt idx="7">
                  <c:v>25.199999999999996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Rother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6.62088175782098</c:v>
                </c:pt>
                <c:pt idx="1">
                  <c:v>12.683041873100425</c:v>
                </c:pt>
                <c:pt idx="2">
                  <c:v>24.324692336986477</c:v>
                </c:pt>
                <c:pt idx="3">
                  <c:v>6.8245200659153182</c:v>
                </c:pt>
                <c:pt idx="4">
                  <c:v>17.788503595886702</c:v>
                </c:pt>
                <c:pt idx="5">
                  <c:v>19.957835558678845</c:v>
                </c:pt>
                <c:pt idx="6">
                  <c:v>17.466561762391816</c:v>
                </c:pt>
                <c:pt idx="7">
                  <c:v>5.4755970089249821</c:v>
                </c:pt>
                <c:pt idx="8">
                  <c:v>22.135950776443011</c:v>
                </c:pt>
                <c:pt idx="9">
                  <c:v>0</c:v>
                </c:pt>
                <c:pt idx="10">
                  <c:v>6.9377781656339996</c:v>
                </c:pt>
                <c:pt idx="11">
                  <c:v>0</c:v>
                </c:pt>
                <c:pt idx="12">
                  <c:v>8.0910157778067546</c:v>
                </c:pt>
                <c:pt idx="13">
                  <c:v>8.0678497612429627</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Rother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56.800000000000004</c:v>
                </c:pt>
                <c:pt idx="1">
                  <c:v>50.900000000000006</c:v>
                </c:pt>
                <c:pt idx="2">
                  <c:v>54.1</c:v>
                </c:pt>
                <c:pt idx="3">
                  <c:v>59.1</c:v>
                </c:pt>
                <c:pt idx="4">
                  <c:v>57.7</c:v>
                </c:pt>
                <c:pt idx="5">
                  <c:v>60.7</c:v>
                </c:pt>
                <c:pt idx="6">
                  <c:v>54.499999999999993</c:v>
                </c:pt>
                <c:pt idx="7">
                  <c:v>44.599999999999994</c:v>
                </c:pt>
                <c:pt idx="8">
                  <c:v>46.4</c:v>
                </c:pt>
                <c:pt idx="9">
                  <c:v>49.4</c:v>
                </c:pt>
                <c:pt idx="10">
                  <c:v>62.099999999999994</c:v>
                </c:pt>
                <c:pt idx="11">
                  <c:v>63.1</c:v>
                </c:pt>
                <c:pt idx="12">
                  <c:v>60.099999999999994</c:v>
                </c:pt>
                <c:pt idx="13">
                  <c:v>58.199999999999996</c:v>
                </c:pt>
                <c:pt idx="14">
                  <c:v>54.599999999999994</c:v>
                </c:pt>
                <c:pt idx="15">
                  <c:v>50.3</c:v>
                </c:pt>
                <c:pt idx="16">
                  <c:v>63.099999999999994</c:v>
                </c:pt>
                <c:pt idx="17">
                  <c:v>62.5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Rother follows closely the situation found in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Rother increased from a position similar to 'Rural as a Region' in 2004 at a marginally greater rate thus taking it above the rural situation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in Rother was in 2017 and 2018 significantly greater than that seen in England and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Rother's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Rother from 2014 to 2021 has been either in line or above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Rother has been less stable and has in certain years been substantially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proportions for Rother have moved above and below the rural and England situations in the period 2004 to 2021.</a:t>
          </a:r>
          <a:endParaRPr lang="en-GB" sz="1100">
            <a:latin typeface="Avenir Next LT Pro" panose="020B0504020202020204" pitchFamily="34" charset="0"/>
          </a:endParaRPr>
        </a:p>
      </xdr:txBody>
    </xdr:sp>
    <xdr:clientData/>
  </xdr:twoCellAnchor>
  <xdr:twoCellAnchor>
    <xdr:from>
      <xdr:col>0</xdr:col>
      <xdr:colOff>594360</xdr:colOff>
      <xdr:row>21</xdr:row>
      <xdr:rowOff>30480</xdr:rowOff>
    </xdr:from>
    <xdr:to>
      <xdr:col>1</xdr:col>
      <xdr:colOff>2575560</xdr:colOff>
      <xdr:row>22</xdr:row>
      <xdr:rowOff>205740</xdr:rowOff>
    </xdr:to>
    <xdr:sp macro="" textlink="">
      <xdr:nvSpPr>
        <xdr:cNvPr id="20" name="TextBox 19">
          <a:extLst>
            <a:ext uri="{FF2B5EF4-FFF2-40B4-BE49-F238E27FC236}">
              <a16:creationId xmlns:a16="http://schemas.microsoft.com/office/drawing/2014/main" id="{B38D6478-8D31-45B7-8EF4-04DB48D0D36B}"/>
            </a:ext>
          </a:extLst>
        </xdr:cNvPr>
        <xdr:cNvSpPr txBox="1"/>
      </xdr:nvSpPr>
      <xdr:spPr>
        <a:xfrm>
          <a:off x="594360" y="76047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In 2008 the pay in Rother was below the rural situation.  After some years of fluctuation a general upward trend manifested that resulted in the gap to the rural situation being similar in 2021 to that in 2008.</a:t>
          </a:r>
          <a:endParaRPr lang="en-GB" sz="1100">
            <a:latin typeface="Avenir Next LT Pro" panose="020B0504020202020204" pitchFamily="34" charset="0"/>
          </a:endParaRPr>
        </a:p>
      </xdr:txBody>
    </xdr:sp>
    <xdr:clientData/>
  </xdr:twoCellAnchor>
  <xdr:twoCellAnchor>
    <xdr:from>
      <xdr:col>0</xdr:col>
      <xdr:colOff>609600</xdr:colOff>
      <xdr:row>12</xdr:row>
      <xdr:rowOff>548640</xdr:rowOff>
    </xdr:from>
    <xdr:to>
      <xdr:col>1</xdr:col>
      <xdr:colOff>2590800</xdr:colOff>
      <xdr:row>14</xdr:row>
      <xdr:rowOff>304800</xdr:rowOff>
    </xdr:to>
    <xdr:sp macro="" textlink="">
      <xdr:nvSpPr>
        <xdr:cNvPr id="21" name="TextBox 20">
          <a:extLst>
            <a:ext uri="{FF2B5EF4-FFF2-40B4-BE49-F238E27FC236}">
              <a16:creationId xmlns:a16="http://schemas.microsoft.com/office/drawing/2014/main" id="{ED681E53-6627-4E3C-A23F-EBF77B1A9537}"/>
            </a:ext>
          </a:extLst>
        </xdr:cNvPr>
        <xdr:cNvSpPr txBox="1"/>
      </xdr:nvSpPr>
      <xdr:spPr>
        <a:xfrm>
          <a:off x="609600" y="3535680"/>
          <a:ext cx="6682740" cy="10515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Rother in 2004 is below that of both the rural and England situations. Although it increases in the years to 2019, it's rate of increase does not match England and is roughly equal to the rural situation, hence the gap does not close.</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385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Rother</v>
      </c>
      <c r="G12" s="88" t="str">
        <f>IFERROR(VLOOKUP(F12,GVA!B244:B552,1,FALSE),VLOOKUP(F12,GVA!B6:C230,2,FALSE))</f>
        <v>Rother</v>
      </c>
      <c r="H12" s="89" t="str">
        <f>IF(F12=G12,"",G12)</f>
        <v/>
      </c>
      <c r="I12" s="76">
        <f>IFERROR(VLOOKUP($F12,GVA!$B$7:$S$230,GVA!D$3,FALSE),VLOOKUP($F12,GVA!$B$244:$T$554,GVA!E$3,FALSE))</f>
        <v>19.899999999999999</v>
      </c>
      <c r="J12" s="77">
        <f>IFERROR(VLOOKUP($F12,GVA!$B$7:$S$230,GVA!E$3,FALSE),VLOOKUP($F12,GVA!$B$244:$T$554,GVA!F$3,FALSE))</f>
        <v>19.89</v>
      </c>
      <c r="K12" s="77">
        <f>IFERROR(VLOOKUP($F12,GVA!$B$7:$S$230,GVA!F$3,FALSE),VLOOKUP($F12,GVA!$B$244:$T$554,GVA!G$3,FALSE))</f>
        <v>19.86</v>
      </c>
      <c r="L12" s="77">
        <f>IFERROR(VLOOKUP($F12,GVA!$B$7:$S$230,GVA!G$3,FALSE),VLOOKUP($F12,GVA!$B$244:$T$554,GVA!H$3,FALSE))</f>
        <v>19.649999999999999</v>
      </c>
      <c r="M12" s="77">
        <f>IFERROR(VLOOKUP($F12,GVA!$B$7:$S$230,GVA!H$3,FALSE),VLOOKUP($F12,GVA!$B$244:$T$554,GVA!I$3,FALSE))</f>
        <v>19.41</v>
      </c>
      <c r="N12" s="77">
        <f>IFERROR(VLOOKUP($F12,GVA!$B$7:$S$230,GVA!I$3,FALSE),VLOOKUP($F12,GVA!$B$244:$T$554,GVA!J$3,FALSE))</f>
        <v>19.45</v>
      </c>
      <c r="O12" s="77">
        <f>IFERROR(VLOOKUP($F12,GVA!$B$7:$S$230,GVA!J$3,FALSE),VLOOKUP($F12,GVA!$B$244:$T$554,GVA!K$3,FALSE))</f>
        <v>19.95</v>
      </c>
      <c r="P12" s="77">
        <f>IFERROR(VLOOKUP($F12,GVA!$B$7:$S$230,GVA!K$3,FALSE),VLOOKUP($F12,GVA!$B$244:$T$554,GVA!L$3,FALSE))</f>
        <v>20.52</v>
      </c>
      <c r="Q12" s="77">
        <f>IFERROR(VLOOKUP($F12,GVA!$B$7:$S$230,GVA!L$3,FALSE),VLOOKUP($F12,GVA!$B$244:$T$554,GVA!M$3,FALSE))</f>
        <v>21.03</v>
      </c>
      <c r="R12" s="77">
        <f>IFERROR(VLOOKUP($F12,GVA!$B$7:$S$230,GVA!M$3,FALSE),VLOOKUP($F12,GVA!$B$244:$T$554,GVA!N$3,FALSE))</f>
        <v>21.27</v>
      </c>
      <c r="S12" s="77">
        <f>IFERROR(VLOOKUP($F12,GVA!$B$7:$S$230,GVA!N$3,FALSE),VLOOKUP($F12,GVA!$B$244:$T$554,GVA!O$3,FALSE))</f>
        <v>21.9</v>
      </c>
      <c r="T12" s="77">
        <f>IFERROR(VLOOKUP($F12,GVA!$B$7:$S$230,GVA!O$3,FALSE),VLOOKUP($F12,GVA!$B$244:$T$554,GVA!P$3,FALSE))</f>
        <v>22.81</v>
      </c>
      <c r="U12" s="77">
        <f>IFERROR(VLOOKUP($F12,GVA!$B$7:$S$230,GVA!P$3,FALSE),VLOOKUP($F12,GVA!$B$244:$T$554,GVA!Q$3,FALSE))</f>
        <v>24.19</v>
      </c>
      <c r="V12" s="77">
        <f>IFERROR(VLOOKUP($F12,GVA!$B$7:$S$230,GVA!Q$3,FALSE),VLOOKUP($F12,GVA!$B$244:$T$554,GVA!R$3,FALSE))</f>
        <v>25.09</v>
      </c>
      <c r="W12" s="77">
        <f>IFERROR(VLOOKUP($F12,GVA!$B$7:$S$230,GVA!R$3,FALSE),VLOOKUP($F12,GVA!$B$244:$T$554,GVA!S$3,FALSE))</f>
        <v>25.64</v>
      </c>
      <c r="X12" s="77">
        <f>IFERROR(VLOOKUP($F12,GVA!$B$7:$S$230,GVA!S$3,FALSE),VLOOKUP($F12,GVA!$B$244:$T$554,GVA!T$3,FALSE))</f>
        <v>25.66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Rother to Rural as a Region</v>
      </c>
      <c r="G15" s="122"/>
      <c r="H15" s="123"/>
      <c r="I15" s="74">
        <f>100*((I12-I13)/I13)</f>
        <v>-15.463469153471495</v>
      </c>
      <c r="J15" s="74">
        <f t="shared" ref="J15:X15" si="0">100*((J12-J13)/J13)</f>
        <v>-15.270706128161956</v>
      </c>
      <c r="K15" s="74">
        <f t="shared" si="0"/>
        <v>-18.284815799914821</v>
      </c>
      <c r="L15" s="74">
        <f t="shared" si="0"/>
        <v>-20.889170069592247</v>
      </c>
      <c r="M15" s="74">
        <f t="shared" si="0"/>
        <v>-23.173265857140823</v>
      </c>
      <c r="N15" s="74">
        <f t="shared" si="0"/>
        <v>-23.64385827986036</v>
      </c>
      <c r="O15" s="74">
        <f t="shared" si="0"/>
        <v>-22.644792902412771</v>
      </c>
      <c r="P15" s="74">
        <f t="shared" si="0"/>
        <v>-21.603514852160615</v>
      </c>
      <c r="Q15" s="74">
        <f t="shared" si="0"/>
        <v>-21.267549137585242</v>
      </c>
      <c r="R15" s="74">
        <f t="shared" si="0"/>
        <v>-21.726444727745903</v>
      </c>
      <c r="S15" s="74">
        <f t="shared" si="0"/>
        <v>-20.722956987162117</v>
      </c>
      <c r="T15" s="74">
        <f t="shared" si="0"/>
        <v>-18.964321361506311</v>
      </c>
      <c r="U15" s="74">
        <f t="shared" si="0"/>
        <v>-16.114782996395981</v>
      </c>
      <c r="V15" s="74">
        <f t="shared" si="0"/>
        <v>-15.296103530735678</v>
      </c>
      <c r="W15" s="74">
        <f t="shared" si="0"/>
        <v>-15.195949111899425</v>
      </c>
      <c r="X15" s="74">
        <f t="shared" si="0"/>
        <v>-16.010146864564309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Rother</v>
      </c>
      <c r="G20" s="88"/>
      <c r="H20" s="89"/>
      <c r="I20" s="80">
        <f>IF(VLOOKUP($F20,PAY!$A$11:$AE$349,4,FALSE)="-",#N/A,VLOOKUP($F20,PAY!$A$11:$AE$349,4,FALSE))</f>
        <v>398.1</v>
      </c>
      <c r="J20" s="80">
        <f>IF(VLOOKUP($F20,PAY!$A$11:$AE$349,6,FALSE)="-",#N/A,VLOOKUP($F20,PAY!$A$11:$AE$349,6,FALSE))</f>
        <v>419.3</v>
      </c>
      <c r="K20" s="80">
        <f>IF(VLOOKUP($F20,PAY!$A$11:$AE$349,8,FALSE)="-",#N/A,VLOOKUP($F20,PAY!$A$11:$AE$349,8,FALSE))</f>
        <v>400</v>
      </c>
      <c r="L20" s="80">
        <f>IF(VLOOKUP($F20,PAY!$A$11:$AE$349,10,FALSE)="-",#N/A,VLOOKUP($F20,PAY!$A$11:$AE$349,10,FALSE))</f>
        <v>424.7</v>
      </c>
      <c r="M20" s="80">
        <f>IF(VLOOKUP($F20,PAY!$A$11:$AE$349,12,FALSE)="-",#N/A,VLOOKUP($F20,PAY!$A$11:$AE$349,12,FALSE))</f>
        <v>427.4</v>
      </c>
      <c r="N20" s="80">
        <f>IF(VLOOKUP($F20,PAY!$A$11:$AE$349,14,FALSE)="-",#N/A,VLOOKUP($F20,PAY!$A$11:$AE$349,14,FALSE))</f>
        <v>370.7</v>
      </c>
      <c r="O20" s="80">
        <f>IF(VLOOKUP($F20,PAY!$A$11:$AE$349,16,FALSE)="-",#N/A,VLOOKUP($F20,PAY!$A$11:$AE$349,16,FALSE))</f>
        <v>381</v>
      </c>
      <c r="P20" s="80">
        <f>IF(VLOOKUP($F20,PAY!$A$11:$AE$349,18,FALSE)="-",#N/A,VLOOKUP($F20,PAY!$A$11:$AE$349,18,FALSE))</f>
        <v>415.2</v>
      </c>
      <c r="Q20" s="80">
        <f>IF(VLOOKUP($F20,PAY!$A$11:$AE$349,20,FALSE)="-",#N/A,VLOOKUP($F20,PAY!$A$11:$AE$349,20,FALSE))</f>
        <v>431.2</v>
      </c>
      <c r="R20" s="80">
        <f>IF(VLOOKUP($F20,PAY!$A$11:$AE$349,22,FALSE)="-",#N/A,VLOOKUP($F20,PAY!$A$11:$AE$349,22,FALSE))</f>
        <v>438.4</v>
      </c>
      <c r="S20" s="80">
        <f>IF(VLOOKUP($F20,PAY!$A$11:$AE$349,24,FALSE)="-",#N/A,VLOOKUP($F20,PAY!$A$11:$AE$349,24,FALSE))</f>
        <v>414.5</v>
      </c>
      <c r="T20" s="80">
        <f>IF(VLOOKUP($F20,PAY!$A$11:$AE$349,26,FALSE)="-",#N/A,VLOOKUP($F20,PAY!$A$11:$AE$349,26,FALSE))</f>
        <v>475.6</v>
      </c>
      <c r="U20" s="80">
        <f>IF(VLOOKUP($F20,PAY!$A$11:$AE$349,28,FALSE)="-",#N/A,VLOOKUP($F20,PAY!$A$11:$AE$349,28,FALSE))</f>
        <v>433.6</v>
      </c>
      <c r="V20" s="80">
        <f>IF(VLOOKUP($F20,PAY!$A$11:$AE$349,30,FALSE)="-",#N/A,VLOOKUP($F20,PAY!$A$11:$AE$349,30,FALSE))</f>
        <v>532.20000000000005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Rother to Rural as a Region</v>
      </c>
      <c r="G23" s="122"/>
      <c r="H23" s="123"/>
      <c r="I23" s="74">
        <f>100*((I20-I21)/I21)</f>
        <v>-8.0584335095186788</v>
      </c>
      <c r="J23" s="74">
        <f t="shared" ref="J23:V23" si="2">100*((J20-J21)/J21)</f>
        <v>-4.0338730903473135</v>
      </c>
      <c r="K23" s="74">
        <f t="shared" si="2"/>
        <v>-10.736732681937488</v>
      </c>
      <c r="L23" s="74">
        <f t="shared" si="2"/>
        <v>-5.7590108309738737</v>
      </c>
      <c r="M23" s="74">
        <f t="shared" si="2"/>
        <v>-6.1160821038699762</v>
      </c>
      <c r="N23" s="74">
        <f t="shared" si="2"/>
        <v>-19.964963679196298</v>
      </c>
      <c r="O23" s="74">
        <f t="shared" si="2"/>
        <v>-19.074351901143753</v>
      </c>
      <c r="P23" s="74">
        <f t="shared" si="2"/>
        <v>-12.556616876694513</v>
      </c>
      <c r="Q23" s="74">
        <f t="shared" si="2"/>
        <v>-11.906923098805002</v>
      </c>
      <c r="R23" s="74">
        <f t="shared" si="2"/>
        <v>-13.025702841501213</v>
      </c>
      <c r="S23" s="74">
        <f t="shared" si="2"/>
        <v>-19.424695789051956</v>
      </c>
      <c r="T23" s="74">
        <f t="shared" si="2"/>
        <v>-10.886066913967426</v>
      </c>
      <c r="U23" s="74">
        <f t="shared" si="2"/>
        <v>-18.350159947364801</v>
      </c>
      <c r="V23" s="74">
        <f t="shared" si="2"/>
        <v>-5.6808112211235438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Rother</v>
      </c>
      <c r="G28" s="88"/>
      <c r="H28" s="89"/>
      <c r="I28" s="76">
        <f>VLOOKUP($F28,EMPLOYMENT!$A$6:$BW$345,6,FALSE)</f>
        <v>78.2</v>
      </c>
      <c r="J28" s="77">
        <f>VLOOKUP($F28,EMPLOYMENT!$A$6:$BW$345,10,FALSE)</f>
        <v>76.8</v>
      </c>
      <c r="K28" s="77">
        <f>VLOOKUP($F28,EMPLOYMENT!$A$6:$BW$345,14,FALSE)</f>
        <v>78.400000000000006</v>
      </c>
      <c r="L28" s="77">
        <f>VLOOKUP($F28,EMPLOYMENT!$A$6:$BW$345,18,FALSE)</f>
        <v>75.900000000000006</v>
      </c>
      <c r="M28" s="77">
        <f>VLOOKUP($F28,EMPLOYMENT!$A$6:$BW$345,22,FALSE)</f>
        <v>70.8</v>
      </c>
      <c r="N28" s="77">
        <f>VLOOKUP($F28,EMPLOYMENT!$A$6:$BW$345,26,FALSE)</f>
        <v>74.099999999999994</v>
      </c>
      <c r="O28" s="77">
        <f>VLOOKUP($F28,EMPLOYMENT!$A$6:$BW$345,30,FALSE)</f>
        <v>71.599999999999994</v>
      </c>
      <c r="P28" s="77">
        <f>VLOOKUP($F28,EMPLOYMENT!$A$6:$BW$345,34,FALSE)</f>
        <v>64.8</v>
      </c>
      <c r="Q28" s="77">
        <f>VLOOKUP($F28,EMPLOYMENT!$A$6:$BW$345,38,FALSE)</f>
        <v>67.900000000000006</v>
      </c>
      <c r="R28" s="77">
        <f>VLOOKUP($F28,EMPLOYMENT!$A$6:$BW$345,42,FALSE)</f>
        <v>69.599999999999994</v>
      </c>
      <c r="S28" s="77">
        <f>VLOOKUP($F28,EMPLOYMENT!$A$6:$BW$345,46,FALSE)</f>
        <v>67.7</v>
      </c>
      <c r="T28" s="77">
        <f>VLOOKUP($F28,EMPLOYMENT!$A$6:$BW$345,50,FALSE)</f>
        <v>75.2</v>
      </c>
      <c r="U28" s="77">
        <f>VLOOKUP($F28,EMPLOYMENT!$A$6:$BW$345,54,FALSE)</f>
        <v>73.099999999999994</v>
      </c>
      <c r="V28" s="77">
        <f>VLOOKUP($F28,EMPLOYMENT!$A$6:$BW$345,58,FALSE)</f>
        <v>74.7</v>
      </c>
      <c r="W28" s="77">
        <f>VLOOKUP($F28,EMPLOYMENT!$A$6:$BW$345,62,FALSE)</f>
        <v>69.2</v>
      </c>
      <c r="X28" s="77">
        <f>VLOOKUP($F28,EMPLOYMENT!$A$6:$BW$345,66,FALSE)</f>
        <v>78.900000000000006</v>
      </c>
      <c r="Y28" s="77">
        <f>VLOOKUP($F28,EMPLOYMENT!$A$6:$BW$345,70,FALSE)</f>
        <v>81.099999999999994</v>
      </c>
      <c r="Z28" s="77">
        <f>VLOOKUP($F28,EMPLOYMENT!$A$6:$BW$345,74,FALSE)</f>
        <v>76.7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Rother to Rural as a Region</v>
      </c>
      <c r="G31" s="122"/>
      <c r="H31" s="123"/>
      <c r="I31" s="74">
        <f>(I28-I29)</f>
        <v>2.0886580805982646</v>
      </c>
      <c r="J31" s="74">
        <f t="shared" ref="J31:Z31" si="4">(J28-J29)</f>
        <v>0.48702453331704021</v>
      </c>
      <c r="K31" s="74">
        <f t="shared" si="4"/>
        <v>2.5268111005132425</v>
      </c>
      <c r="L31" s="74">
        <f t="shared" si="4"/>
        <v>0.25953169737216797</v>
      </c>
      <c r="M31" s="74">
        <f t="shared" si="4"/>
        <v>-4.9355243733317451</v>
      </c>
      <c r="N31" s="74">
        <f t="shared" si="4"/>
        <v>-0.4095398428731869</v>
      </c>
      <c r="O31" s="74">
        <f t="shared" si="4"/>
        <v>-1.9471331389698747</v>
      </c>
      <c r="P31" s="74">
        <f t="shared" si="4"/>
        <v>-8.9342954032776163</v>
      </c>
      <c r="Q31" s="74">
        <f t="shared" si="4"/>
        <v>-6.1331574754625677</v>
      </c>
      <c r="R31" s="74">
        <f t="shared" si="4"/>
        <v>-5.1444749299002126</v>
      </c>
      <c r="S31" s="74">
        <f t="shared" si="4"/>
        <v>-8.4088603400756057</v>
      </c>
      <c r="T31" s="74">
        <f t="shared" si="4"/>
        <v>-1.9905319756090165</v>
      </c>
      <c r="U31" s="74">
        <f t="shared" si="4"/>
        <v>-3.8716324817080476</v>
      </c>
      <c r="V31" s="74">
        <f t="shared" si="4"/>
        <v>-3.3327868852458948</v>
      </c>
      <c r="W31" s="74">
        <f t="shared" si="4"/>
        <v>-8.8481568934141421</v>
      </c>
      <c r="X31" s="74">
        <f t="shared" si="4"/>
        <v>0.30870062104330032</v>
      </c>
      <c r="Y31" s="74">
        <f t="shared" si="4"/>
        <v>4.0856537038707899</v>
      </c>
      <c r="Z31" s="74">
        <f t="shared" si="4"/>
        <v>0.54424192212096045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Rother</v>
      </c>
      <c r="G36" s="88" t="str">
        <f>IFERROR(VLOOKUP(F36,GDHI!B338:C574,2,FALSE),VLOOKUP(F36,GDHI!C3:C336,1,FALSE))</f>
        <v>Rother</v>
      </c>
      <c r="H36" s="89" t="str">
        <f>IF(F36=G36,"",G36)</f>
        <v/>
      </c>
      <c r="I36" s="83">
        <f>IFERROR(VLOOKUP($F36,GDHI!$B$338:$U$574,GDHI!G$578,FALSE),VLOOKUP($F36,GDHI!$C$3:$U$336,GDHI!F$578,FALSE))</f>
        <v>14709</v>
      </c>
      <c r="J36" s="84">
        <f>IFERROR(VLOOKUP($F36,GDHI!$B$338:$U$574,GDHI!H$578,FALSE),VLOOKUP($F36,GDHI!$C$3:$U$336,GDHI!G$578,FALSE))</f>
        <v>15343</v>
      </c>
      <c r="K36" s="84">
        <f>IFERROR(VLOOKUP($F36,GDHI!$B$338:$U$574,GDHI!I$578,FALSE),VLOOKUP($F36,GDHI!$C$3:$U$336,GDHI!H$578,FALSE))</f>
        <v>15889</v>
      </c>
      <c r="L36" s="84">
        <f>IFERROR(VLOOKUP($F36,GDHI!$B$338:$U$574,GDHI!J$578,FALSE),VLOOKUP($F36,GDHI!$C$3:$U$336,GDHI!I$578,FALSE))</f>
        <v>17122</v>
      </c>
      <c r="M36" s="84">
        <f>IFERROR(VLOOKUP($F36,GDHI!$B$338:$U$574,GDHI!K$578,FALSE),VLOOKUP($F36,GDHI!$C$3:$U$336,GDHI!J$578,FALSE))</f>
        <v>17680</v>
      </c>
      <c r="N36" s="84">
        <f>IFERROR(VLOOKUP($F36,GDHI!$B$338:$U$574,GDHI!L$578,FALSE),VLOOKUP($F36,GDHI!$C$3:$U$336,GDHI!K$578,FALSE))</f>
        <v>17729</v>
      </c>
      <c r="O36" s="84">
        <f>IFERROR(VLOOKUP($F36,GDHI!$B$338:$U$574,GDHI!M$578,FALSE),VLOOKUP($F36,GDHI!$C$3:$U$336,GDHI!L$578,FALSE))</f>
        <v>18225</v>
      </c>
      <c r="P36" s="84">
        <f>IFERROR(VLOOKUP($F36,GDHI!$B$338:$U$574,GDHI!N$578,FALSE),VLOOKUP($F36,GDHI!$C$3:$U$336,GDHI!M$578,FALSE))</f>
        <v>18275</v>
      </c>
      <c r="Q36" s="84">
        <f>IFERROR(VLOOKUP($F36,GDHI!$B$338:$U$574,GDHI!O$578,FALSE),VLOOKUP($F36,GDHI!$C$3:$U$336,GDHI!N$578,FALSE))</f>
        <v>18722</v>
      </c>
      <c r="R36" s="84">
        <f>IFERROR(VLOOKUP($F36,GDHI!$B$338:$U$574,GDHI!P$578,FALSE),VLOOKUP($F36,GDHI!$C$3:$U$336,GDHI!O$578,FALSE))</f>
        <v>19643</v>
      </c>
      <c r="S36" s="84">
        <f>IFERROR(VLOOKUP($F36,GDHI!$B$338:$U$574,GDHI!Q$578,FALSE),VLOOKUP($F36,GDHI!$C$3:$U$336,GDHI!P$578,FALSE))</f>
        <v>19917</v>
      </c>
      <c r="T36" s="84">
        <f>IFERROR(VLOOKUP($F36,GDHI!$B$338:$U$574,GDHI!R$578,FALSE),VLOOKUP($F36,GDHI!$C$3:$U$336,GDHI!Q$578,FALSE))</f>
        <v>20987</v>
      </c>
      <c r="U36" s="84">
        <f>IFERROR(VLOOKUP($F36,GDHI!$B$338:$U$574,GDHI!S$578,FALSE),VLOOKUP($F36,GDHI!$C$3:$U$336,GDHI!R$578,FALSE))</f>
        <v>21226</v>
      </c>
      <c r="V36" s="84">
        <f>IFERROR(VLOOKUP($F36,GDHI!$B$338:$U$574,GDHI!T$578,FALSE),VLOOKUP($F36,GDHI!$C$3:$U$336,GDHI!S$578,FALSE))</f>
        <v>21242</v>
      </c>
      <c r="W36" s="84">
        <f>IFERROR(VLOOKUP($F36,GDHI!$B$338:$U$574,GDHI!U$578,FALSE),VLOOKUP($F36,GDHI!$C$3:$U$336,GDHI!T$578,FALSE))</f>
        <v>22097</v>
      </c>
      <c r="X36" s="84">
        <f>IFERROR(VLOOKUP($F36,GDHI!$B$338:$U$574,GDHI!V$578,FALSE),VLOOKUP($F36,GDHI!$C$3:$U$336,GDHI!U$578,FALSE))</f>
        <v>22585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Rother to Rural as a Region</v>
      </c>
      <c r="G39" s="122"/>
      <c r="H39" s="123"/>
      <c r="I39" s="74">
        <f>100*((I36-I37)/I37)</f>
        <v>-3.3991638057037973E-3</v>
      </c>
      <c r="J39" s="74">
        <f t="shared" ref="J39:X39" si="6">100*((J36-J37)/J37)</f>
        <v>1.0165432717633552E-2</v>
      </c>
      <c r="K39" s="74">
        <f t="shared" si="6"/>
        <v>-0.22091294235853792</v>
      </c>
      <c r="L39" s="74">
        <f t="shared" si="6"/>
        <v>3.3426814310565156</v>
      </c>
      <c r="M39" s="74">
        <f t="shared" si="6"/>
        <v>3.613770238808709</v>
      </c>
      <c r="N39" s="74">
        <f t="shared" si="6"/>
        <v>2.5217454159940171</v>
      </c>
      <c r="O39" s="74">
        <f t="shared" si="6"/>
        <v>4.0957662010043006</v>
      </c>
      <c r="P39" s="74">
        <f t="shared" si="6"/>
        <v>2.6682646648885409</v>
      </c>
      <c r="Q39" s="74">
        <f t="shared" si="6"/>
        <v>1.9363821272590886</v>
      </c>
      <c r="R39" s="74">
        <f t="shared" si="6"/>
        <v>4.0747162723104555</v>
      </c>
      <c r="S39" s="74">
        <f t="shared" si="6"/>
        <v>2.6859317717722169</v>
      </c>
      <c r="T39" s="74">
        <f t="shared" si="6"/>
        <v>2.5839946651211423</v>
      </c>
      <c r="U39" s="74">
        <f t="shared" si="6"/>
        <v>2.9144146120155177</v>
      </c>
      <c r="V39" s="74">
        <f t="shared" si="6"/>
        <v>1.3188908529380192</v>
      </c>
      <c r="W39" s="74">
        <f t="shared" si="6"/>
        <v>1.1680269120377003</v>
      </c>
      <c r="X39" s="74">
        <f t="shared" si="6"/>
        <v>1.4366367226995367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Rother</v>
      </c>
      <c r="G44" s="88"/>
      <c r="H44" s="89"/>
      <c r="I44" s="76">
        <f>VLOOKUP($F44,'LOW PAID'!$A$9:$N$444,6,FALSE)</f>
        <v>32.1</v>
      </c>
      <c r="J44" s="77">
        <f>VLOOKUP($F44,'LOW PAID'!$P$9:$W$444,6,FALSE)</f>
        <v>32.799999999999997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Rother to Rural as a Region</v>
      </c>
      <c r="G47" s="122"/>
      <c r="H47" s="123"/>
      <c r="I47" s="74">
        <f>(I44-I45)</f>
        <v>6.9061253217868845</v>
      </c>
      <c r="J47" s="74">
        <f>(J44-J45)</f>
        <v>7.1138834909699433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Rother</v>
      </c>
      <c r="G52" s="88"/>
      <c r="H52" s="89"/>
      <c r="I52" s="76">
        <f>VLOOKUP($F52,INACTIVITY!$A$6:$BW$345,6,FALSE)</f>
        <v>18.899999999999999</v>
      </c>
      <c r="J52" s="77">
        <f>VLOOKUP($F52,INACTIVITY!$A$6:$BW$345,10,FALSE)</f>
        <v>19.399999999999999</v>
      </c>
      <c r="K52" s="77">
        <f>VLOOKUP($F52,INACTIVITY!$A$6:$BW$345,14,FALSE)</f>
        <v>17.100000000000001</v>
      </c>
      <c r="L52" s="77">
        <f>VLOOKUP($F52,INACTIVITY!$A$6:$BW$345,18,FALSE)</f>
        <v>22.8</v>
      </c>
      <c r="M52" s="77">
        <f>VLOOKUP($F52,INACTIVITY!$A$6:$BW$345,22,FALSE)</f>
        <v>23.3</v>
      </c>
      <c r="N52" s="77">
        <f>VLOOKUP($F52,INACTIVITY!$A$6:$BW$345,26,FALSE)</f>
        <v>22.9</v>
      </c>
      <c r="O52" s="77">
        <f>VLOOKUP($F52,INACTIVITY!$A$6:$BW$345,30,FALSE)</f>
        <v>22.6</v>
      </c>
      <c r="P52" s="77">
        <f>VLOOKUP($F52,INACTIVITY!$A$6:$BW$345,34,FALSE)</f>
        <v>29.5</v>
      </c>
      <c r="Q52" s="77">
        <f>VLOOKUP($F52,INACTIVITY!$A$6:$BW$345,38,FALSE)</f>
        <v>24.2</v>
      </c>
      <c r="R52" s="77">
        <f>VLOOKUP($F52,INACTIVITY!$A$6:$BW$345,42,FALSE)</f>
        <v>26.5</v>
      </c>
      <c r="S52" s="77">
        <f>VLOOKUP($F52,INACTIVITY!$A$6:$BW$345,46,FALSE)</f>
        <v>31</v>
      </c>
      <c r="T52" s="77">
        <f>VLOOKUP($F52,INACTIVITY!$A$6:$BW$345,50,FALSE)</f>
        <v>23.4</v>
      </c>
      <c r="U52" s="77">
        <f>VLOOKUP($F52,INACTIVITY!$A$6:$BW$345,54,FALSE)</f>
        <v>24.3</v>
      </c>
      <c r="V52" s="77">
        <f>VLOOKUP($F52,INACTIVITY!$A$6:$BW$345,58,FALSE)</f>
        <v>22.1</v>
      </c>
      <c r="W52" s="77">
        <f>VLOOKUP($F52,INACTIVITY!$A$6:$BW$345,62,FALSE)</f>
        <v>28.6</v>
      </c>
      <c r="X52" s="77">
        <f>VLOOKUP($F52,INACTIVITY!$A$6:$BW$345,66,FALSE)</f>
        <v>18.399999999999999</v>
      </c>
      <c r="Y52" s="77">
        <f>VLOOKUP($F52,INACTIVITY!$A$6:$BW$345,70,FALSE)</f>
        <v>15.6</v>
      </c>
      <c r="Z52" s="77">
        <f>VLOOKUP($F52,INACTIVITY!$A$6:$BW$345,74,FALSE)</f>
        <v>17.5</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Rother to Rural as a Region</v>
      </c>
      <c r="G55" s="122"/>
      <c r="H55" s="123"/>
      <c r="I55" s="74">
        <f>(I52-I53)</f>
        <v>-2.4956445716102387</v>
      </c>
      <c r="J55" s="74">
        <f t="shared" ref="J55:Z55" si="10">(J52-J53)</f>
        <v>-1.608522727272728</v>
      </c>
      <c r="K55" s="74">
        <f t="shared" si="10"/>
        <v>-3.7624653934587755</v>
      </c>
      <c r="L55" s="74">
        <f t="shared" si="10"/>
        <v>1.4859346684633614</v>
      </c>
      <c r="M55" s="74">
        <f t="shared" si="10"/>
        <v>2.4649976891079959</v>
      </c>
      <c r="N55" s="74">
        <f t="shared" si="10"/>
        <v>1.9668562420795581</v>
      </c>
      <c r="O55" s="74">
        <f t="shared" si="10"/>
        <v>0.90806287249482764</v>
      </c>
      <c r="P55" s="74">
        <f t="shared" si="10"/>
        <v>8.0057542192465512</v>
      </c>
      <c r="Q55" s="74">
        <f t="shared" si="10"/>
        <v>3.0174512055109055</v>
      </c>
      <c r="R55" s="74">
        <f t="shared" si="10"/>
        <v>5.7254069025612289</v>
      </c>
      <c r="S55" s="74">
        <f t="shared" si="10"/>
        <v>10.7267895440276</v>
      </c>
      <c r="T55" s="74">
        <f t="shared" si="10"/>
        <v>3.7038053165930407</v>
      </c>
      <c r="U55" s="74">
        <f t="shared" si="10"/>
        <v>4.4475706529305299</v>
      </c>
      <c r="V55" s="74">
        <f t="shared" si="10"/>
        <v>2.846722665719625</v>
      </c>
      <c r="W55" s="74">
        <f t="shared" si="10"/>
        <v>9.4230439908171526</v>
      </c>
      <c r="X55" s="74">
        <f t="shared" si="10"/>
        <v>-0.45206494936493158</v>
      </c>
      <c r="Y55" s="74">
        <f t="shared" si="10"/>
        <v>-4.1725827218714624</v>
      </c>
      <c r="Z55" s="74">
        <f t="shared" si="10"/>
        <v>-3.5851797756300705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Rother</v>
      </c>
      <c r="G60" s="88"/>
      <c r="H60" s="89"/>
      <c r="I60" s="76">
        <f>VLOOKUP($F60,DISABILITY!$A$718:$I$1052,DISABILITY!B$1053,FALSE)</f>
        <v>34.5</v>
      </c>
      <c r="J60" s="77">
        <f>VLOOKUP($F60,DISABILITY!$A$718:$I$1052,DISABILITY!C$1053,FALSE)</f>
        <v>30.4</v>
      </c>
      <c r="K60" s="77">
        <f>VLOOKUP($F60,DISABILITY!$A$718:$I$1052,DISABILITY!D$1053,FALSE)</f>
        <v>28.700000000000003</v>
      </c>
      <c r="L60" s="77">
        <f>VLOOKUP($F60,DISABILITY!$A$718:$I$1052,DISABILITY!E$1053,FALSE)</f>
        <v>27.800000000000004</v>
      </c>
      <c r="M60" s="77">
        <f>VLOOKUP($F60,DISABILITY!$A$718:$I$1052,DISABILITY!F$1053,FALSE)</f>
        <v>31.4</v>
      </c>
      <c r="N60" s="77">
        <f>VLOOKUP($F60,DISABILITY!$A$718:$I$1052,DISABILITY!G$1053,FALSE)</f>
        <v>23.700000000000003</v>
      </c>
      <c r="O60" s="77">
        <f>VLOOKUP($F60,DISABILITY!$A$718:$I$1052,DISABILITY!H$1053,FALSE)</f>
        <v>38.200000000000003</v>
      </c>
      <c r="P60" s="77">
        <f>VLOOKUP($F60,DISABILITY!$A$718:$I$1052,DISABILITY!I$1053,FALSE)</f>
        <v>25.199999999999996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Rother to Rural as a Region</v>
      </c>
      <c r="G63" s="122"/>
      <c r="H63" s="123"/>
      <c r="I63" s="74">
        <f>(I60-I61)</f>
        <v>7.0798434593527517</v>
      </c>
      <c r="J63" s="74">
        <f t="shared" ref="J63:P63" si="12">(J60-J61)</f>
        <v>3.0809555929488113</v>
      </c>
      <c r="K63" s="74">
        <f t="shared" si="12"/>
        <v>0.58087163850179735</v>
      </c>
      <c r="L63" s="74">
        <f t="shared" si="12"/>
        <v>1.8090654610033283</v>
      </c>
      <c r="M63" s="74">
        <f t="shared" si="12"/>
        <v>5.9247741813338806</v>
      </c>
      <c r="N63" s="74">
        <f t="shared" si="12"/>
        <v>-1.8312476854419799</v>
      </c>
      <c r="O63" s="74">
        <f t="shared" si="12"/>
        <v>14.402777712003058</v>
      </c>
      <c r="P63" s="74">
        <f t="shared" si="12"/>
        <v>-0.15417793034217908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Rother</v>
      </c>
      <c r="G68" s="88"/>
      <c r="H68" s="89"/>
      <c r="I68" s="76">
        <f>VLOOKUP($F68,'WORKLESS HOUSEHOLDS'!$DW$4:$EC$397,7,FALSE)</f>
        <v>6.62088175782098</v>
      </c>
      <c r="J68" s="77">
        <f>VLOOKUP($F68,'WORKLESS HOUSEHOLDS'!$DN$4:$DT$397,7,FALSE)</f>
        <v>12.683041873100425</v>
      </c>
      <c r="K68" s="77">
        <f>VLOOKUP($F68,'WORKLESS HOUSEHOLDS'!$DE$4:$DK$397,7,FALSE)</f>
        <v>24.324692336986477</v>
      </c>
      <c r="L68" s="77">
        <f>VLOOKUP($F68,'WORKLESS HOUSEHOLDS'!$CV$4:$DB$397,7,FALSE)</f>
        <v>6.8245200659153182</v>
      </c>
      <c r="M68" s="77">
        <f>VLOOKUP($F68,'WORKLESS HOUSEHOLDS'!$CM$4:$CS$397,7,FALSE)</f>
        <v>17.788503595886702</v>
      </c>
      <c r="N68" s="77">
        <f>VLOOKUP($F68,'WORKLESS HOUSEHOLDS'!$CD$4:$CJ$397,7,FALSE)</f>
        <v>19.957835558678845</v>
      </c>
      <c r="O68" s="77">
        <f>VLOOKUP($F68,'WORKLESS HOUSEHOLDS'!$BU$4:$CA$397,7,FALSE)</f>
        <v>17.466561762391816</v>
      </c>
      <c r="P68" s="77">
        <f>VLOOKUP($F68,'WORKLESS HOUSEHOLDS'!$BL$4:$BR$397,7,FALSE)</f>
        <v>5.4755970089249821</v>
      </c>
      <c r="Q68" s="77">
        <f>VLOOKUP($F68,'WORKLESS HOUSEHOLDS'!$BC$4:$BI$397,7,FALSE)</f>
        <v>22.135950776443011</v>
      </c>
      <c r="R68" s="77" t="str">
        <f>VLOOKUP($F68,'WORKLESS HOUSEHOLDS'!$AT$4:$AZ$397,7,FALSE)</f>
        <v>#</v>
      </c>
      <c r="S68" s="77">
        <f>VLOOKUP($F68,'WORKLESS HOUSEHOLDS'!$AK$4:$AQ$397,7,FALSE)</f>
        <v>6.9377781656339996</v>
      </c>
      <c r="T68" s="77" t="str">
        <f>VLOOKUP($F68,'WORKLESS HOUSEHOLDS'!$AB$4:$AH$397,7,FALSE)</f>
        <v>#</v>
      </c>
      <c r="U68" s="77">
        <f>VLOOKUP($F68,'WORKLESS HOUSEHOLDS'!$S$4:$Y$397,7,FALSE)</f>
        <v>8.0910157778067546</v>
      </c>
      <c r="V68" s="77">
        <f>VLOOKUP($F68,'WORKLESS HOUSEHOLDS'!$J$4:$P$397,7,FALSE)</f>
        <v>8.0678497612429627</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Rother to Rural as a Region</v>
      </c>
      <c r="G71" s="122"/>
      <c r="H71" s="123"/>
      <c r="I71" s="74">
        <f>(I68-I69)</f>
        <v>-3.3910641047657109</v>
      </c>
      <c r="J71" s="74">
        <f t="shared" ref="J71:W71" si="14">(J68-J69)</f>
        <v>1.7718870356254008</v>
      </c>
      <c r="K71" s="74">
        <f t="shared" si="14"/>
        <v>14.031446607830633</v>
      </c>
      <c r="L71" s="74">
        <f t="shared" si="14"/>
        <v>-4.1414865954144142</v>
      </c>
      <c r="M71" s="74">
        <f t="shared" si="14"/>
        <v>6.0947244146982289</v>
      </c>
      <c r="N71" s="74">
        <f t="shared" si="14"/>
        <v>8.0567358794234636</v>
      </c>
      <c r="O71" s="74">
        <f t="shared" si="14"/>
        <v>6.4313085146493041</v>
      </c>
      <c r="P71" s="74">
        <f t="shared" si="14"/>
        <v>-4.2159008768428556</v>
      </c>
      <c r="Q71" s="74">
        <f t="shared" si="14"/>
        <v>11.330772516044599</v>
      </c>
      <c r="R71" s="74" t="e">
        <f t="shared" si="14"/>
        <v>#VALUE!</v>
      </c>
      <c r="S71" s="74">
        <f t="shared" si="14"/>
        <v>-3.2149666625148816</v>
      </c>
      <c r="T71" s="74" t="e">
        <f t="shared" si="14"/>
        <v>#VALUE!</v>
      </c>
      <c r="U71" s="74">
        <f t="shared" si="14"/>
        <v>-2.6710343868727211</v>
      </c>
      <c r="V71" s="74">
        <f t="shared" si="14"/>
        <v>-1.8710187152966853</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Rother</v>
      </c>
      <c r="G76" s="88"/>
      <c r="H76" s="89"/>
      <c r="I76" s="76">
        <f>VLOOKUP($F76,'SKILLED EMPLOYMENT'!$A$1506:$BW$1841,6,FALSE)</f>
        <v>56.800000000000004</v>
      </c>
      <c r="J76" s="77">
        <f>VLOOKUP($F76,'SKILLED EMPLOYMENT'!$A$1506:$BW$1841,10,FALSE)</f>
        <v>50.900000000000006</v>
      </c>
      <c r="K76" s="77">
        <f>VLOOKUP($F76,'SKILLED EMPLOYMENT'!$A$1506:$BW$1841,14,FALSE)</f>
        <v>54.1</v>
      </c>
      <c r="L76" s="77">
        <f>VLOOKUP($F76,'SKILLED EMPLOYMENT'!$A$1506:$BW$1841,18,FALSE)</f>
        <v>59.1</v>
      </c>
      <c r="M76" s="77">
        <f>VLOOKUP($F76,'SKILLED EMPLOYMENT'!$A$1506:$BW$1841,22,FALSE)</f>
        <v>57.7</v>
      </c>
      <c r="N76" s="77">
        <f>VLOOKUP($F76,'SKILLED EMPLOYMENT'!$A$1506:$BW$1841,26,FALSE)</f>
        <v>60.7</v>
      </c>
      <c r="O76" s="77">
        <f>VLOOKUP($F76,'SKILLED EMPLOYMENT'!$A$1506:$BW$1841,30,FALSE)</f>
        <v>54.499999999999993</v>
      </c>
      <c r="P76" s="77">
        <f>VLOOKUP($F76,'SKILLED EMPLOYMENT'!$A$1506:$BW$1841,34,FALSE)</f>
        <v>44.599999999999994</v>
      </c>
      <c r="Q76" s="77">
        <f>VLOOKUP($F76,'SKILLED EMPLOYMENT'!$A$1506:$BW$1841,38,FALSE)</f>
        <v>46.4</v>
      </c>
      <c r="R76" s="77">
        <f>VLOOKUP($F76,'SKILLED EMPLOYMENT'!$A$1506:$BW$1841,42,FALSE)</f>
        <v>49.4</v>
      </c>
      <c r="S76" s="77">
        <f>VLOOKUP($F76,'SKILLED EMPLOYMENT'!$A$1506:$BW$1841,46,FALSE)</f>
        <v>62.099999999999994</v>
      </c>
      <c r="T76" s="77">
        <f>VLOOKUP($F76,'SKILLED EMPLOYMENT'!$A$1506:$BW$1841,50,FALSE)</f>
        <v>63.1</v>
      </c>
      <c r="U76" s="77">
        <f>VLOOKUP($F76,'SKILLED EMPLOYMENT'!$A$1506:$BW$1841,54,FALSE)</f>
        <v>60.099999999999994</v>
      </c>
      <c r="V76" s="77">
        <f>VLOOKUP($F76,'SKILLED EMPLOYMENT'!$A$1506:$BW$1841,58,FALSE)</f>
        <v>58.199999999999996</v>
      </c>
      <c r="W76" s="77">
        <f>VLOOKUP($F76,'SKILLED EMPLOYMENT'!$A$1506:$BW$1841,62,FALSE)</f>
        <v>54.599999999999994</v>
      </c>
      <c r="X76" s="77">
        <f>VLOOKUP($F76,'SKILLED EMPLOYMENT'!$A$1506:$BW$1841,66,FALSE)</f>
        <v>50.3</v>
      </c>
      <c r="Y76" s="77">
        <f>VLOOKUP($F76,'SKILLED EMPLOYMENT'!$A$1506:$BW$1841,70,FALSE)</f>
        <v>63.099999999999994</v>
      </c>
      <c r="Z76" s="77">
        <f>VLOOKUP($F76,'SKILLED EMPLOYMENT'!$A$1506:$BW$1841,74,FALSE)</f>
        <v>62.5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Rother to Rural as a Region</v>
      </c>
      <c r="G79" s="122"/>
      <c r="H79" s="123"/>
      <c r="I79" s="74">
        <f>(I76-I77)</f>
        <v>4.1000000000000014</v>
      </c>
      <c r="J79" s="74">
        <f t="shared" ref="J79:Z79" si="17">(J76-J77)</f>
        <v>-1.9999999999999929</v>
      </c>
      <c r="K79" s="74">
        <f t="shared" si="17"/>
        <v>0.60000000000000142</v>
      </c>
      <c r="L79" s="74">
        <f t="shared" si="17"/>
        <v>5.1000000000000014</v>
      </c>
      <c r="M79" s="74">
        <f t="shared" si="17"/>
        <v>3.6000000000000014</v>
      </c>
      <c r="N79" s="74">
        <f t="shared" si="17"/>
        <v>6.3000000000000043</v>
      </c>
      <c r="O79" s="74">
        <f t="shared" si="17"/>
        <v>-0.90000000000000568</v>
      </c>
      <c r="P79" s="74">
        <f t="shared" si="17"/>
        <v>-11.000000000000007</v>
      </c>
      <c r="Q79" s="74">
        <f t="shared" si="17"/>
        <v>-9</v>
      </c>
      <c r="R79" s="74">
        <f t="shared" si="17"/>
        <v>-6.8000000000000043</v>
      </c>
      <c r="S79" s="74">
        <f t="shared" si="17"/>
        <v>5.8999999999999915</v>
      </c>
      <c r="T79" s="74">
        <f t="shared" si="17"/>
        <v>6.3000000000000043</v>
      </c>
      <c r="U79" s="74">
        <f t="shared" si="17"/>
        <v>3.4999999999999929</v>
      </c>
      <c r="V79" s="74">
        <f t="shared" si="17"/>
        <v>1.0999999999999943</v>
      </c>
      <c r="W79" s="74">
        <f t="shared" si="17"/>
        <v>-3.2000000000000028</v>
      </c>
      <c r="X79" s="74">
        <f t="shared" si="17"/>
        <v>-8.5</v>
      </c>
      <c r="Y79" s="74">
        <f t="shared" si="17"/>
        <v>4.3999999999999915</v>
      </c>
      <c r="Z79" s="74">
        <f t="shared" si="17"/>
        <v>4.1000000000000014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aQnsSu2HLlIHKO5lDw7jVIoLvOHNPJy+r4kRUsPFk8suFAwuZeM0QFwAHRl6Y7/xfdjv0zPlI5lO+Wn0NXZh+A==" saltValue="HggdMAIR4pDqvLOMalNGl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2022-06-29T15:16:23Z</cp:lastPrinted>
  <dcterms:created xsi:type="dcterms:W3CDTF">2022-05-30T09:14:22Z</dcterms:created>
  <dcterms:modified xsi:type="dcterms:W3CDTF">2022-08-02T13:08:24Z</dcterms:modified>
</cp:coreProperties>
</file>