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3" documentId="8_{D82A6A97-8451-4F9B-92E4-294FC016A30F}" xr6:coauthVersionLast="47" xr6:coauthVersionMax="47" xr10:uidLastSave="{827CCE81-B861-43E8-97BB-511DB761D8B7}"/>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<sst xmlns="http://schemas.openxmlformats.org/spreadsheetml/2006/main" count="32859" uniqueCount="1676">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</sst>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Rutland</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25.64</c:v>
                </c:pt>
                <c:pt idx="1">
                  <c:v>25.58</c:v>
                </c:pt>
                <c:pt idx="2">
                  <c:v>25.51</c:v>
                </c:pt>
                <c:pt idx="3">
                  <c:v>25.2</c:v>
                </c:pt>
                <c:pt idx="4">
                  <c:v>25</c:v>
                </c:pt>
                <c:pt idx="5">
                  <c:v>25.04</c:v>
                </c:pt>
                <c:pt idx="6">
                  <c:v>25.64</c:v>
                </c:pt>
                <c:pt idx="7">
                  <c:v>26.1</c:v>
                </c:pt>
                <c:pt idx="8">
                  <c:v>26.52</c:v>
                </c:pt>
                <c:pt idx="9">
                  <c:v>26.28</c:v>
                </c:pt>
                <c:pt idx="10">
                  <c:v>26.18</c:v>
                </c:pt>
                <c:pt idx="11">
                  <c:v>25.88</c:v>
                </c:pt>
                <c:pt idx="12">
                  <c:v>26.12</c:v>
                </c:pt>
                <c:pt idx="13">
                  <c:v>26.66</c:v>
                </c:pt>
                <c:pt idx="14">
                  <c:v>27.61</c:v>
                </c:pt>
                <c:pt idx="15">
                  <c:v>28.25</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Rutland</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452.5</c:v>
                </c:pt>
                <c:pt idx="1">
                  <c:v>506.6</c:v>
                </c:pt>
                <c:pt idx="2">
                  <c:v>424.4</c:v>
                </c:pt>
                <c:pt idx="3">
                  <c:v>441.5</c:v>
                </c:pt>
                <c:pt idx="4">
                  <c:v>427.9</c:v>
                </c:pt>
                <c:pt idx="5">
                  <c:v>425.5</c:v>
                </c:pt>
                <c:pt idx="6">
                  <c:v>466.3</c:v>
                </c:pt>
                <c:pt idx="7">
                  <c:v>433.8</c:v>
                </c:pt>
                <c:pt idx="8">
                  <c:v>428.1</c:v>
                </c:pt>
                <c:pt idx="9">
                  <c:v>502.1</c:v>
                </c:pt>
                <c:pt idx="10">
                  <c:v>539.70000000000005</c:v>
                </c:pt>
                <c:pt idx="11">
                  <c:v>551.6</c:v>
                </c:pt>
                <c:pt idx="12">
                  <c:v>528.20000000000005</c:v>
                </c:pt>
                <c:pt idx="13">
                  <c:v>597.70000000000005</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Rutland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76.2</c:v>
                </c:pt>
                <c:pt idx="1">
                  <c:v>77.900000000000006</c:v>
                </c:pt>
                <c:pt idx="2">
                  <c:v>77.099999999999994</c:v>
                </c:pt>
                <c:pt idx="3">
                  <c:v>78.5</c:v>
                </c:pt>
                <c:pt idx="4">
                  <c:v>74.599999999999994</c:v>
                </c:pt>
                <c:pt idx="5">
                  <c:v>75.400000000000006</c:v>
                </c:pt>
                <c:pt idx="6">
                  <c:v>77.400000000000006</c:v>
                </c:pt>
                <c:pt idx="7">
                  <c:v>78.900000000000006</c:v>
                </c:pt>
                <c:pt idx="8">
                  <c:v>75.900000000000006</c:v>
                </c:pt>
                <c:pt idx="9">
                  <c:v>78.599999999999994</c:v>
                </c:pt>
                <c:pt idx="10">
                  <c:v>79.900000000000006</c:v>
                </c:pt>
                <c:pt idx="11">
                  <c:v>76.599999999999994</c:v>
                </c:pt>
                <c:pt idx="12">
                  <c:v>79.5</c:v>
                </c:pt>
                <c:pt idx="13">
                  <c:v>81.099999999999994</c:v>
                </c:pt>
                <c:pt idx="14">
                  <c:v>77.400000000000006</c:v>
                </c:pt>
                <c:pt idx="15">
                  <c:v>77.099999999999994</c:v>
                </c:pt>
                <c:pt idx="16">
                  <c:v>71.3</c:v>
                </c:pt>
                <c:pt idx="17">
                  <c:v>75.400000000000006</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Rutland</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16941</c:v>
                </c:pt>
                <c:pt idx="1">
                  <c:v>17352</c:v>
                </c:pt>
                <c:pt idx="2">
                  <c:v>17889</c:v>
                </c:pt>
                <c:pt idx="3">
                  <c:v>18675</c:v>
                </c:pt>
                <c:pt idx="4">
                  <c:v>19067</c:v>
                </c:pt>
                <c:pt idx="5">
                  <c:v>18584</c:v>
                </c:pt>
                <c:pt idx="6">
                  <c:v>18785</c:v>
                </c:pt>
                <c:pt idx="7">
                  <c:v>19228</c:v>
                </c:pt>
                <c:pt idx="8">
                  <c:v>19991</c:v>
                </c:pt>
                <c:pt idx="9">
                  <c:v>20064</c:v>
                </c:pt>
                <c:pt idx="10">
                  <c:v>20757</c:v>
                </c:pt>
                <c:pt idx="11">
                  <c:v>22171</c:v>
                </c:pt>
                <c:pt idx="12">
                  <c:v>21776</c:v>
                </c:pt>
                <c:pt idx="13">
                  <c:v>22076</c:v>
                </c:pt>
                <c:pt idx="14">
                  <c:v>23381</c:v>
                </c:pt>
                <c:pt idx="15">
                  <c:v>24707</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Rutland</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26.6</c:v>
                </c:pt>
                <c:pt idx="1">
                  <c:v>22.6</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Rutland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22.4</c:v>
                </c:pt>
                <c:pt idx="1">
                  <c:v>18.5</c:v>
                </c:pt>
                <c:pt idx="2">
                  <c:v>18.100000000000001</c:v>
                </c:pt>
                <c:pt idx="3">
                  <c:v>20</c:v>
                </c:pt>
                <c:pt idx="4">
                  <c:v>22.4</c:v>
                </c:pt>
                <c:pt idx="5">
                  <c:v>19.5</c:v>
                </c:pt>
                <c:pt idx="6">
                  <c:v>19</c:v>
                </c:pt>
                <c:pt idx="7">
                  <c:v>17</c:v>
                </c:pt>
                <c:pt idx="8">
                  <c:v>20.3</c:v>
                </c:pt>
                <c:pt idx="9">
                  <c:v>20.100000000000001</c:v>
                </c:pt>
                <c:pt idx="10">
                  <c:v>17.2</c:v>
                </c:pt>
                <c:pt idx="11">
                  <c:v>20.100000000000001</c:v>
                </c:pt>
                <c:pt idx="12">
                  <c:v>17.899999999999999</c:v>
                </c:pt>
                <c:pt idx="13">
                  <c:v>16.899999999999999</c:v>
                </c:pt>
                <c:pt idx="14">
                  <c:v>18.7</c:v>
                </c:pt>
                <c:pt idx="15">
                  <c:v>21.1</c:v>
                </c:pt>
                <c:pt idx="16">
                  <c:v>24.3</c:v>
                </c:pt>
                <c:pt idx="17">
                  <c:v>22.5</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Rutland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1.3999999999999915</c:v>
                </c:pt>
                <c:pt idx="1">
                  <c:v>25.000000000000007</c:v>
                </c:pt>
                <c:pt idx="2">
                  <c:v>12.700000000000003</c:v>
                </c:pt>
                <c:pt idx="3">
                  <c:v>12</c:v>
                </c:pt>
                <c:pt idx="4">
                  <c:v>11.400000000000006</c:v>
                </c:pt>
                <c:pt idx="5">
                  <c:v>28.099999999999994</c:v>
                </c:pt>
                <c:pt idx="6">
                  <c:v>7.7000000000000028</c:v>
                </c:pt>
                <c:pt idx="7">
                  <c:v>31.6</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Rutland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0</c:v>
                </c:pt>
                <c:pt idx="1">
                  <c:v>10.402114638660587</c:v>
                </c:pt>
                <c:pt idx="2">
                  <c:v>0</c:v>
                </c:pt>
                <c:pt idx="3">
                  <c:v>12.263183858541826</c:v>
                </c:pt>
                <c:pt idx="4">
                  <c:v>7.8939418516572895</c:v>
                </c:pt>
                <c:pt idx="5">
                  <c:v>0</c:v>
                </c:pt>
                <c:pt idx="6">
                  <c:v>0</c:v>
                </c:pt>
                <c:pt idx="7">
                  <c:v>0</c:v>
                </c:pt>
                <c:pt idx="8">
                  <c:v>0</c:v>
                </c:pt>
                <c:pt idx="9">
                  <c:v>2.4911579271105646</c:v>
                </c:pt>
                <c:pt idx="10">
                  <c:v>0</c:v>
                </c:pt>
                <c:pt idx="11">
                  <c:v>0</c:v>
                </c:pt>
                <c:pt idx="12">
                  <c:v>3.4126333059885154</c:v>
                </c:pt>
                <c:pt idx="13">
                  <c:v>3.9493019838354155</c:v>
                </c:pt>
                <c:pt idx="14">
                  <c:v>0</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Rutland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59.1</c:v>
                </c:pt>
                <c:pt idx="1">
                  <c:v>63.399999999999991</c:v>
                </c:pt>
                <c:pt idx="2">
                  <c:v>62.2</c:v>
                </c:pt>
                <c:pt idx="3">
                  <c:v>60.5</c:v>
                </c:pt>
                <c:pt idx="4">
                  <c:v>60.699999999999996</c:v>
                </c:pt>
                <c:pt idx="5">
                  <c:v>58.900000000000006</c:v>
                </c:pt>
                <c:pt idx="6">
                  <c:v>63.5</c:v>
                </c:pt>
                <c:pt idx="7">
                  <c:v>61.699999999999996</c:v>
                </c:pt>
                <c:pt idx="8">
                  <c:v>62.3</c:v>
                </c:pt>
                <c:pt idx="9">
                  <c:v>64.8</c:v>
                </c:pt>
                <c:pt idx="10">
                  <c:v>60.3</c:v>
                </c:pt>
                <c:pt idx="11">
                  <c:v>60.3</c:v>
                </c:pt>
                <c:pt idx="12">
                  <c:v>66.800000000000011</c:v>
                </c:pt>
                <c:pt idx="13">
                  <c:v>57.4</c:v>
                </c:pt>
                <c:pt idx="14">
                  <c:v>64.2</c:v>
                </c:pt>
                <c:pt idx="15">
                  <c:v>62.9</c:v>
                </c:pt>
                <c:pt idx="16">
                  <c:v>70.400000000000006</c:v>
                </c:pt>
                <c:pt idx="17">
                  <c:v>68.400000000000006</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Rutland has from 2004 to 2021 generally been in line with or greater than the situation for 'Rural as a Region' and England.</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GDHI for Rutland has been from 2004 to 2019 consistently above that seen for either rural or England, and has in general maintained its gap to both.</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Due to  the proportion </a:t>
          </a:r>
          <a:r>
            <a:rPr lang="en-GB" sz="1100" baseline="0">
              <a:solidFill>
                <a:schemeClr val="dk1"/>
              </a:solidFill>
              <a:effectLst/>
              <a:latin typeface="Avenir Next LT Pro" panose="020B0504020202020204" pitchFamily="34" charset="0"/>
              <a:ea typeface="+mn-ea"/>
              <a:cs typeface="+mn-cs"/>
            </a:rPr>
            <a:t>for Rutland </a:t>
          </a:r>
          <a:r>
            <a:rPr lang="en-GB" sz="1100" baseline="0">
              <a:latin typeface="Avenir Next LT Pro" panose="020B0504020202020204" pitchFamily="34" charset="0"/>
            </a:rPr>
            <a:t>dropping between 2017 and 2018 , it's proportion has moved from being greater than to being less than that seen for both the rural and England situations.</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Rutland's economic inactivity rate has fluctuated over the years but has been in general below the proportions seen for </a:t>
          </a:r>
          <a:r>
            <a:rPr lang="en-GB" sz="1100">
              <a:latin typeface="Avenir Next LT Pro" panose="020B0504020202020204" pitchFamily="34" charset="0"/>
            </a:rPr>
            <a:t>England and rural on average.</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Rutland shows no real pattern of change with some significant fluctuations from year to year.</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Lack of data for Rutland from 2006 to 2020 makes it difficult to assess whether there has been a consistent trend or pattern in proportion of children in workless households in this period.</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Rutland in general has consistently a higher proportion of employed people in skilled employment than seen for 'Rural as a Region'.</a:t>
          </a:r>
          <a:endParaRPr lang="en-GB" sz="1100">
            <a:latin typeface="Avenir Next LT Pro" panose="020B0504020202020204" pitchFamily="34" charset="0"/>
          </a:endParaRPr>
        </a:p>
      </xdr:txBody>
    </xdr:sp>
    <xdr:clientData/>
  </xdr:twoCellAnchor>
  <xdr:twoCellAnchor>
    <xdr:from>
      <xdr:col>0</xdr:col>
      <xdr:colOff>601980</xdr:colOff>
      <xdr:row>21</xdr:row>
      <xdr:rowOff>15240</xdr:rowOff>
    </xdr:from>
    <xdr:to>
      <xdr:col>1</xdr:col>
      <xdr:colOff>2583180</xdr:colOff>
      <xdr:row>22</xdr:row>
      <xdr:rowOff>190500</xdr:rowOff>
    </xdr:to>
    <xdr:sp macro="" textlink="">
      <xdr:nvSpPr>
        <xdr:cNvPr id="20" name="TextBox 19">
          <a:extLst>
            <a:ext uri="{FF2B5EF4-FFF2-40B4-BE49-F238E27FC236}">
              <a16:creationId xmlns:a16="http://schemas.microsoft.com/office/drawing/2014/main" id="{4B4102C9-A77F-45A8-8E3A-5B441D5C4F9F}"/>
            </a:ext>
          </a:extLst>
        </xdr:cNvPr>
        <xdr:cNvSpPr txBox="1"/>
      </xdr:nvSpPr>
      <xdr:spPr>
        <a:xfrm>
          <a:off x="601980" y="758952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Rutland has fluctuated over the years, but has in 2021 roughly maintained the position relative to England and 'Rural as a Region' as it had in 2008.</a:t>
          </a:r>
          <a:endParaRPr lang="en-GB" sz="1100">
            <a:latin typeface="Avenir Next LT Pro" panose="020B0504020202020204" pitchFamily="34" charset="0"/>
          </a:endParaRPr>
        </a:p>
      </xdr:txBody>
    </xdr:sp>
    <xdr:clientData/>
  </xdr:twoCellAnchor>
  <xdr:twoCellAnchor>
    <xdr:from>
      <xdr:col>0</xdr:col>
      <xdr:colOff>571500</xdr:colOff>
      <xdr:row>12</xdr:row>
      <xdr:rowOff>525780</xdr:rowOff>
    </xdr:from>
    <xdr:to>
      <xdr:col>1</xdr:col>
      <xdr:colOff>2552700</xdr:colOff>
      <xdr:row>14</xdr:row>
      <xdr:rowOff>30480</xdr:rowOff>
    </xdr:to>
    <xdr:sp macro="" textlink="">
      <xdr:nvSpPr>
        <xdr:cNvPr id="21" name="TextBox 20">
          <a:extLst>
            <a:ext uri="{FF2B5EF4-FFF2-40B4-BE49-F238E27FC236}">
              <a16:creationId xmlns:a16="http://schemas.microsoft.com/office/drawing/2014/main" id="{A37EC294-C32F-4CEF-980C-15BFA243AC7F}"/>
            </a:ext>
          </a:extLst>
        </xdr:cNvPr>
        <xdr:cNvSpPr txBox="1"/>
      </xdr:nvSpPr>
      <xdr:spPr>
        <a:xfrm>
          <a:off x="571500" y="351282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Rutland in 2004 was greater than both the rural and England situations, however a minimal rate of increase has resulted in it being below both in 2019.</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117</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Rutland</v>
      </c>
      <c r="G12" s="88" t="str">
        <f>IFERROR(VLOOKUP(F12,GVA!B244:B552,1,FALSE),VLOOKUP(F12,GVA!B6:C230,2,FALSE))</f>
        <v>Rutland</v>
      </c>
      <c r="H12" s="89" t="str">
        <f>IF(F12=G12,"",G12)</f>
        <v/>
      </c>
      <c r="I12" s="76">
        <f>IFERROR(VLOOKUP($F12,GVA!$B$7:$S$230,GVA!D$3,FALSE),VLOOKUP($F12,GVA!$B$244:$T$554,GVA!E$3,FALSE))</f>
        <v>25.64</v>
      </c>
      <c r="J12" s="77">
        <f>IFERROR(VLOOKUP($F12,GVA!$B$7:$S$230,GVA!E$3,FALSE),VLOOKUP($F12,GVA!$B$244:$T$554,GVA!F$3,FALSE))</f>
        <v>25.58</v>
      </c>
      <c r="K12" s="77">
        <f>IFERROR(VLOOKUP($F12,GVA!$B$7:$S$230,GVA!F$3,FALSE),VLOOKUP($F12,GVA!$B$244:$T$554,GVA!G$3,FALSE))</f>
        <v>25.51</v>
      </c>
      <c r="L12" s="77">
        <f>IFERROR(VLOOKUP($F12,GVA!$B$7:$S$230,GVA!G$3,FALSE),VLOOKUP($F12,GVA!$B$244:$T$554,GVA!H$3,FALSE))</f>
        <v>25.2</v>
      </c>
      <c r="M12" s="77">
        <f>IFERROR(VLOOKUP($F12,GVA!$B$7:$S$230,GVA!H$3,FALSE),VLOOKUP($F12,GVA!$B$244:$T$554,GVA!I$3,FALSE))</f>
        <v>25</v>
      </c>
      <c r="N12" s="77">
        <f>IFERROR(VLOOKUP($F12,GVA!$B$7:$S$230,GVA!I$3,FALSE),VLOOKUP($F12,GVA!$B$244:$T$554,GVA!J$3,FALSE))</f>
        <v>25.04</v>
      </c>
      <c r="O12" s="77">
        <f>IFERROR(VLOOKUP($F12,GVA!$B$7:$S$230,GVA!J$3,FALSE),VLOOKUP($F12,GVA!$B$244:$T$554,GVA!K$3,FALSE))</f>
        <v>25.64</v>
      </c>
      <c r="P12" s="77">
        <f>IFERROR(VLOOKUP($F12,GVA!$B$7:$S$230,GVA!K$3,FALSE),VLOOKUP($F12,GVA!$B$244:$T$554,GVA!L$3,FALSE))</f>
        <v>26.1</v>
      </c>
      <c r="Q12" s="77">
        <f>IFERROR(VLOOKUP($F12,GVA!$B$7:$S$230,GVA!L$3,FALSE),VLOOKUP($F12,GVA!$B$244:$T$554,GVA!M$3,FALSE))</f>
        <v>26.52</v>
      </c>
      <c r="R12" s="77">
        <f>IFERROR(VLOOKUP($F12,GVA!$B$7:$S$230,GVA!M$3,FALSE),VLOOKUP($F12,GVA!$B$244:$T$554,GVA!N$3,FALSE))</f>
        <v>26.28</v>
      </c>
      <c r="S12" s="77">
        <f>IFERROR(VLOOKUP($F12,GVA!$B$7:$S$230,GVA!N$3,FALSE),VLOOKUP($F12,GVA!$B$244:$T$554,GVA!O$3,FALSE))</f>
        <v>26.18</v>
      </c>
      <c r="T12" s="77">
        <f>IFERROR(VLOOKUP($F12,GVA!$B$7:$S$230,GVA!O$3,FALSE),VLOOKUP($F12,GVA!$B$244:$T$554,GVA!P$3,FALSE))</f>
        <v>25.88</v>
      </c>
      <c r="U12" s="77">
        <f>IFERROR(VLOOKUP($F12,GVA!$B$7:$S$230,GVA!P$3,FALSE),VLOOKUP($F12,GVA!$B$244:$T$554,GVA!Q$3,FALSE))</f>
        <v>26.12</v>
      </c>
      <c r="V12" s="77">
        <f>IFERROR(VLOOKUP($F12,GVA!$B$7:$S$230,GVA!Q$3,FALSE),VLOOKUP($F12,GVA!$B$244:$T$554,GVA!R$3,FALSE))</f>
        <v>26.66</v>
      </c>
      <c r="W12" s="77">
        <f>IFERROR(VLOOKUP($F12,GVA!$B$7:$S$230,GVA!R$3,FALSE),VLOOKUP($F12,GVA!$B$244:$T$554,GVA!S$3,FALSE))</f>
        <v>27.61</v>
      </c>
      <c r="X12" s="77">
        <f>IFERROR(VLOOKUP($F12,GVA!$B$7:$S$230,GVA!S$3,FALSE),VLOOKUP($F12,GVA!$B$244:$T$554,GVA!T$3,FALSE))</f>
        <v>28.25</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Rutland to Rural as a Region</v>
      </c>
      <c r="G15" s="122"/>
      <c r="H15" s="123"/>
      <c r="I15" s="74">
        <f>100*((I12-I13)/I13)</f>
        <v>8.9204347188437705</v>
      </c>
      <c r="J15" s="74">
        <f t="shared" ref="J15:X15" si="0">100*((J12-J13)/J13)</f>
        <v>8.9680913645860691</v>
      </c>
      <c r="K15" s="74">
        <f t="shared" si="0"/>
        <v>4.9624546296159702</v>
      </c>
      <c r="L15" s="74">
        <f t="shared" si="0"/>
        <v>1.4551101397595643</v>
      </c>
      <c r="M15" s="74">
        <f t="shared" si="0"/>
        <v>-1.047483072051552</v>
      </c>
      <c r="N15" s="74">
        <f t="shared" si="0"/>
        <v>-1.6988283458973481</v>
      </c>
      <c r="O15" s="74">
        <f t="shared" si="0"/>
        <v>-0.58207970014352672</v>
      </c>
      <c r="P15" s="74">
        <f t="shared" si="0"/>
        <v>-0.28517239967796632</v>
      </c>
      <c r="Q15" s="74">
        <f t="shared" si="0"/>
        <v>-0.713999197753724</v>
      </c>
      <c r="R15" s="74">
        <f t="shared" si="0"/>
        <v>-3.289655263054172</v>
      </c>
      <c r="S15" s="74">
        <f t="shared" si="0"/>
        <v>-5.2295440147901404</v>
      </c>
      <c r="T15" s="74">
        <f t="shared" si="0"/>
        <v>-8.057721913011104</v>
      </c>
      <c r="U15" s="74">
        <f t="shared" si="0"/>
        <v>-9.4219980101638274</v>
      </c>
      <c r="V15" s="74">
        <f t="shared" si="0"/>
        <v>-9.9957799971866539</v>
      </c>
      <c r="W15" s="74">
        <f t="shared" si="0"/>
        <v>-8.6801932519322627</v>
      </c>
      <c r="X15" s="74">
        <f t="shared" si="0"/>
        <v>-7.5326051802003819</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Rutland</v>
      </c>
      <c r="G20" s="88"/>
      <c r="H20" s="89"/>
      <c r="I20" s="80">
        <f>IF(VLOOKUP($F20,PAY!$A$11:$AE$349,4,FALSE)="-",#N/A,VLOOKUP($F20,PAY!$A$11:$AE$349,4,FALSE))</f>
        <v>452.5</v>
      </c>
      <c r="J20" s="80">
        <f>IF(VLOOKUP($F20,PAY!$A$11:$AE$349,6,FALSE)="-",#N/A,VLOOKUP($F20,PAY!$A$11:$AE$349,6,FALSE))</f>
        <v>506.6</v>
      </c>
      <c r="K20" s="80">
        <f>IF(VLOOKUP($F20,PAY!$A$11:$AE$349,8,FALSE)="-",#N/A,VLOOKUP($F20,PAY!$A$11:$AE$349,8,FALSE))</f>
        <v>424.4</v>
      </c>
      <c r="L20" s="80">
        <f>IF(VLOOKUP($F20,PAY!$A$11:$AE$349,10,FALSE)="-",#N/A,VLOOKUP($F20,PAY!$A$11:$AE$349,10,FALSE))</f>
        <v>441.5</v>
      </c>
      <c r="M20" s="80">
        <f>IF(VLOOKUP($F20,PAY!$A$11:$AE$349,12,FALSE)="-",#N/A,VLOOKUP($F20,PAY!$A$11:$AE$349,12,FALSE))</f>
        <v>427.9</v>
      </c>
      <c r="N20" s="80">
        <f>IF(VLOOKUP($F20,PAY!$A$11:$AE$349,14,FALSE)="-",#N/A,VLOOKUP($F20,PAY!$A$11:$AE$349,14,FALSE))</f>
        <v>425.5</v>
      </c>
      <c r="O20" s="80">
        <f>IF(VLOOKUP($F20,PAY!$A$11:$AE$349,16,FALSE)="-",#N/A,VLOOKUP($F20,PAY!$A$11:$AE$349,16,FALSE))</f>
        <v>466.3</v>
      </c>
      <c r="P20" s="80">
        <f>IF(VLOOKUP($F20,PAY!$A$11:$AE$349,18,FALSE)="-",#N/A,VLOOKUP($F20,PAY!$A$11:$AE$349,18,FALSE))</f>
        <v>433.8</v>
      </c>
      <c r="Q20" s="80">
        <f>IF(VLOOKUP($F20,PAY!$A$11:$AE$349,20,FALSE)="-",#N/A,VLOOKUP($F20,PAY!$A$11:$AE$349,20,FALSE))</f>
        <v>428.1</v>
      </c>
      <c r="R20" s="80">
        <f>IF(VLOOKUP($F20,PAY!$A$11:$AE$349,22,FALSE)="-",#N/A,VLOOKUP($F20,PAY!$A$11:$AE$349,22,FALSE))</f>
        <v>502.1</v>
      </c>
      <c r="S20" s="80">
        <f>IF(VLOOKUP($F20,PAY!$A$11:$AE$349,24,FALSE)="-",#N/A,VLOOKUP($F20,PAY!$A$11:$AE$349,24,FALSE))</f>
        <v>539.70000000000005</v>
      </c>
      <c r="T20" s="80">
        <f>IF(VLOOKUP($F20,PAY!$A$11:$AE$349,26,FALSE)="-",#N/A,VLOOKUP($F20,PAY!$A$11:$AE$349,26,FALSE))</f>
        <v>551.6</v>
      </c>
      <c r="U20" s="80">
        <f>IF(VLOOKUP($F20,PAY!$A$11:$AE$349,28,FALSE)="-",#N/A,VLOOKUP($F20,PAY!$A$11:$AE$349,28,FALSE))</f>
        <v>528.20000000000005</v>
      </c>
      <c r="V20" s="80">
        <f>IF(VLOOKUP($F20,PAY!$A$11:$AE$349,30,FALSE)="-",#N/A,VLOOKUP($F20,PAY!$A$11:$AE$349,30,FALSE))</f>
        <v>597.70000000000005</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Rutland to Rural as a Region</v>
      </c>
      <c r="G23" s="122"/>
      <c r="H23" s="123"/>
      <c r="I23" s="74">
        <f>100*((I20-I21)/I21)</f>
        <v>4.5052972543149838</v>
      </c>
      <c r="J23" s="74">
        <f t="shared" ref="J23:V23" si="2">100*((J20-J21)/J21)</f>
        <v>15.94667276992619</v>
      </c>
      <c r="K23" s="74">
        <f t="shared" si="2"/>
        <v>-5.2916733755356793</v>
      </c>
      <c r="L23" s="74">
        <f t="shared" si="2"/>
        <v>-2.0310884904049069</v>
      </c>
      <c r="M23" s="74">
        <f t="shared" si="2"/>
        <v>-6.0062506603789494</v>
      </c>
      <c r="N23" s="74">
        <f t="shared" si="2"/>
        <v>-8.1335096992123646</v>
      </c>
      <c r="O23" s="74">
        <f t="shared" si="2"/>
        <v>-0.956352471137349</v>
      </c>
      <c r="P23" s="74">
        <f t="shared" si="2"/>
        <v>-8.6393554940030768</v>
      </c>
      <c r="Q23" s="74">
        <f t="shared" si="2"/>
        <v>-12.540245312148466</v>
      </c>
      <c r="R23" s="74">
        <f t="shared" si="2"/>
        <v>-0.388242237038675</v>
      </c>
      <c r="S23" s="74">
        <f t="shared" si="2"/>
        <v>4.9131283055456301</v>
      </c>
      <c r="T23" s="74">
        <f t="shared" si="2"/>
        <v>3.3541747061723468</v>
      </c>
      <c r="U23" s="74">
        <f t="shared" si="2"/>
        <v>-0.53633414252326439</v>
      </c>
      <c r="V23" s="74">
        <f t="shared" si="2"/>
        <v>5.9274316669193103</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Rutland</v>
      </c>
      <c r="G28" s="88"/>
      <c r="H28" s="89"/>
      <c r="I28" s="76">
        <f>VLOOKUP($F28,EMPLOYMENT!$A$6:$BW$345,6,FALSE)</f>
        <v>76.2</v>
      </c>
      <c r="J28" s="77">
        <f>VLOOKUP($F28,EMPLOYMENT!$A$6:$BW$345,10,FALSE)</f>
        <v>77.900000000000006</v>
      </c>
      <c r="K28" s="77">
        <f>VLOOKUP($F28,EMPLOYMENT!$A$6:$BW$345,14,FALSE)</f>
        <v>77.099999999999994</v>
      </c>
      <c r="L28" s="77">
        <f>VLOOKUP($F28,EMPLOYMENT!$A$6:$BW$345,18,FALSE)</f>
        <v>78.5</v>
      </c>
      <c r="M28" s="77">
        <f>VLOOKUP($F28,EMPLOYMENT!$A$6:$BW$345,22,FALSE)</f>
        <v>74.599999999999994</v>
      </c>
      <c r="N28" s="77">
        <f>VLOOKUP($F28,EMPLOYMENT!$A$6:$BW$345,26,FALSE)</f>
        <v>75.400000000000006</v>
      </c>
      <c r="O28" s="77">
        <f>VLOOKUP($F28,EMPLOYMENT!$A$6:$BW$345,30,FALSE)</f>
        <v>77.400000000000006</v>
      </c>
      <c r="P28" s="77">
        <f>VLOOKUP($F28,EMPLOYMENT!$A$6:$BW$345,34,FALSE)</f>
        <v>78.900000000000006</v>
      </c>
      <c r="Q28" s="77">
        <f>VLOOKUP($F28,EMPLOYMENT!$A$6:$BW$345,38,FALSE)</f>
        <v>75.900000000000006</v>
      </c>
      <c r="R28" s="77">
        <f>VLOOKUP($F28,EMPLOYMENT!$A$6:$BW$345,42,FALSE)</f>
        <v>78.599999999999994</v>
      </c>
      <c r="S28" s="77">
        <f>VLOOKUP($F28,EMPLOYMENT!$A$6:$BW$345,46,FALSE)</f>
        <v>79.900000000000006</v>
      </c>
      <c r="T28" s="77">
        <f>VLOOKUP($F28,EMPLOYMENT!$A$6:$BW$345,50,FALSE)</f>
        <v>76.599999999999994</v>
      </c>
      <c r="U28" s="77">
        <f>VLOOKUP($F28,EMPLOYMENT!$A$6:$BW$345,54,FALSE)</f>
        <v>79.5</v>
      </c>
      <c r="V28" s="77">
        <f>VLOOKUP($F28,EMPLOYMENT!$A$6:$BW$345,58,FALSE)</f>
        <v>81.099999999999994</v>
      </c>
      <c r="W28" s="77">
        <f>VLOOKUP($F28,EMPLOYMENT!$A$6:$BW$345,62,FALSE)</f>
        <v>77.400000000000006</v>
      </c>
      <c r="X28" s="77">
        <f>VLOOKUP($F28,EMPLOYMENT!$A$6:$BW$345,66,FALSE)</f>
        <v>77.099999999999994</v>
      </c>
      <c r="Y28" s="77">
        <f>VLOOKUP($F28,EMPLOYMENT!$A$6:$BW$345,70,FALSE)</f>
        <v>71.3</v>
      </c>
      <c r="Z28" s="77">
        <f>VLOOKUP($F28,EMPLOYMENT!$A$6:$BW$345,74,FALSE)</f>
        <v>75.400000000000006</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Rutland to Rural as a Region</v>
      </c>
      <c r="G31" s="122"/>
      <c r="H31" s="123"/>
      <c r="I31" s="74">
        <f>(I28-I29)</f>
        <v>8.8658080598264632E-2</v>
      </c>
      <c r="J31" s="74">
        <f t="shared" ref="J31:Z31" si="4">(J28-J29)</f>
        <v>1.5870245333170487</v>
      </c>
      <c r="K31" s="74">
        <f t="shared" si="4"/>
        <v>1.2268111005132312</v>
      </c>
      <c r="L31" s="74">
        <f t="shared" si="4"/>
        <v>2.8595316973721623</v>
      </c>
      <c r="M31" s="74">
        <f t="shared" si="4"/>
        <v>-1.1355243733317479</v>
      </c>
      <c r="N31" s="74">
        <f t="shared" si="4"/>
        <v>0.89046015712682447</v>
      </c>
      <c r="O31" s="74">
        <f t="shared" si="4"/>
        <v>3.8528668610301366</v>
      </c>
      <c r="P31" s="74">
        <f t="shared" si="4"/>
        <v>5.1657045967223922</v>
      </c>
      <c r="Q31" s="74">
        <f t="shared" si="4"/>
        <v>1.8668425245374323</v>
      </c>
      <c r="R31" s="74">
        <f t="shared" si="4"/>
        <v>3.8555250700997874</v>
      </c>
      <c r="S31" s="74">
        <f t="shared" si="4"/>
        <v>3.7911396599243972</v>
      </c>
      <c r="T31" s="74">
        <f t="shared" si="4"/>
        <v>-0.59053197560902504</v>
      </c>
      <c r="U31" s="74">
        <f t="shared" si="4"/>
        <v>2.528367518291958</v>
      </c>
      <c r="V31" s="74">
        <f t="shared" si="4"/>
        <v>3.0672131147540966</v>
      </c>
      <c r="W31" s="74">
        <f t="shared" si="4"/>
        <v>-0.64815689341413929</v>
      </c>
      <c r="X31" s="74">
        <f t="shared" si="4"/>
        <v>-1.4912993789567111</v>
      </c>
      <c r="Y31" s="74">
        <f t="shared" si="4"/>
        <v>-5.7143462961292073</v>
      </c>
      <c r="Z31" s="74">
        <f t="shared" si="4"/>
        <v>-0.7557580778790367</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Rutland</v>
      </c>
      <c r="G36" s="88" t="str">
        <f>IFERROR(VLOOKUP(F36,GDHI!B338:C574,2,FALSE),VLOOKUP(F36,GDHI!C3:C336,1,FALSE))</f>
        <v>Rutland</v>
      </c>
      <c r="H36" s="89" t="str">
        <f>IF(F36=G36,"",G36)</f>
        <v/>
      </c>
      <c r="I36" s="83">
        <f>IFERROR(VLOOKUP($F36,GDHI!$B$338:$U$574,GDHI!G$578,FALSE),VLOOKUP($F36,GDHI!$C$3:$U$336,GDHI!F$578,FALSE))</f>
        <v>16941</v>
      </c>
      <c r="J36" s="84">
        <f>IFERROR(VLOOKUP($F36,GDHI!$B$338:$U$574,GDHI!H$578,FALSE),VLOOKUP($F36,GDHI!$C$3:$U$336,GDHI!G$578,FALSE))</f>
        <v>17352</v>
      </c>
      <c r="K36" s="84">
        <f>IFERROR(VLOOKUP($F36,GDHI!$B$338:$U$574,GDHI!I$578,FALSE),VLOOKUP($F36,GDHI!$C$3:$U$336,GDHI!H$578,FALSE))</f>
        <v>17889</v>
      </c>
      <c r="L36" s="84">
        <f>IFERROR(VLOOKUP($F36,GDHI!$B$338:$U$574,GDHI!J$578,FALSE),VLOOKUP($F36,GDHI!$C$3:$U$336,GDHI!I$578,FALSE))</f>
        <v>18675</v>
      </c>
      <c r="M36" s="84">
        <f>IFERROR(VLOOKUP($F36,GDHI!$B$338:$U$574,GDHI!K$578,FALSE),VLOOKUP($F36,GDHI!$C$3:$U$336,GDHI!J$578,FALSE))</f>
        <v>19067</v>
      </c>
      <c r="N36" s="84">
        <f>IFERROR(VLOOKUP($F36,GDHI!$B$338:$U$574,GDHI!L$578,FALSE),VLOOKUP($F36,GDHI!$C$3:$U$336,GDHI!K$578,FALSE))</f>
        <v>18584</v>
      </c>
      <c r="O36" s="84">
        <f>IFERROR(VLOOKUP($F36,GDHI!$B$338:$U$574,GDHI!M$578,FALSE),VLOOKUP($F36,GDHI!$C$3:$U$336,GDHI!L$578,FALSE))</f>
        <v>18785</v>
      </c>
      <c r="P36" s="84">
        <f>IFERROR(VLOOKUP($F36,GDHI!$B$338:$U$574,GDHI!N$578,FALSE),VLOOKUP($F36,GDHI!$C$3:$U$336,GDHI!M$578,FALSE))</f>
        <v>19228</v>
      </c>
      <c r="Q36" s="84">
        <f>IFERROR(VLOOKUP($F36,GDHI!$B$338:$U$574,GDHI!O$578,FALSE),VLOOKUP($F36,GDHI!$C$3:$U$336,GDHI!N$578,FALSE))</f>
        <v>19991</v>
      </c>
      <c r="R36" s="84">
        <f>IFERROR(VLOOKUP($F36,GDHI!$B$338:$U$574,GDHI!P$578,FALSE),VLOOKUP($F36,GDHI!$C$3:$U$336,GDHI!O$578,FALSE))</f>
        <v>20064</v>
      </c>
      <c r="S36" s="84">
        <f>IFERROR(VLOOKUP($F36,GDHI!$B$338:$U$574,GDHI!Q$578,FALSE),VLOOKUP($F36,GDHI!$C$3:$U$336,GDHI!P$578,FALSE))</f>
        <v>20757</v>
      </c>
      <c r="T36" s="84">
        <f>IFERROR(VLOOKUP($F36,GDHI!$B$338:$U$574,GDHI!R$578,FALSE),VLOOKUP($F36,GDHI!$C$3:$U$336,GDHI!Q$578,FALSE))</f>
        <v>22171</v>
      </c>
      <c r="U36" s="84">
        <f>IFERROR(VLOOKUP($F36,GDHI!$B$338:$U$574,GDHI!S$578,FALSE),VLOOKUP($F36,GDHI!$C$3:$U$336,GDHI!R$578,FALSE))</f>
        <v>21776</v>
      </c>
      <c r="V36" s="84">
        <f>IFERROR(VLOOKUP($F36,GDHI!$B$338:$U$574,GDHI!T$578,FALSE),VLOOKUP($F36,GDHI!$C$3:$U$336,GDHI!S$578,FALSE))</f>
        <v>22076</v>
      </c>
      <c r="W36" s="84">
        <f>IFERROR(VLOOKUP($F36,GDHI!$B$338:$U$574,GDHI!U$578,FALSE),VLOOKUP($F36,GDHI!$C$3:$U$336,GDHI!T$578,FALSE))</f>
        <v>23381</v>
      </c>
      <c r="X36" s="84">
        <f>IFERROR(VLOOKUP($F36,GDHI!$B$338:$U$574,GDHI!V$578,FALSE),VLOOKUP($F36,GDHI!$C$3:$U$336,GDHI!U$578,FALSE))</f>
        <v>24707</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Rutland to Rural as a Region</v>
      </c>
      <c r="G39" s="122"/>
      <c r="H39" s="123"/>
      <c r="I39" s="74">
        <f>100*((I36-I37)/I37)</f>
        <v>15.170468064856045</v>
      </c>
      <c r="J39" s="74">
        <f t="shared" ref="J39:X39" si="6">100*((J36-J37)/J37)</f>
        <v>13.105415537281912</v>
      </c>
      <c r="K39" s="74">
        <f t="shared" si="6"/>
        <v>12.338604592746435</v>
      </c>
      <c r="L39" s="74">
        <f t="shared" si="6"/>
        <v>12.716071470913469</v>
      </c>
      <c r="M39" s="74">
        <f t="shared" si="6"/>
        <v>11.742293956072718</v>
      </c>
      <c r="N39" s="74">
        <f t="shared" si="6"/>
        <v>7.4659663156880152</v>
      </c>
      <c r="O39" s="74">
        <f t="shared" si="6"/>
        <v>7.2943192365358458</v>
      </c>
      <c r="P39" s="74">
        <f t="shared" si="6"/>
        <v>8.0221829262094051</v>
      </c>
      <c r="Q39" s="74">
        <f t="shared" si="6"/>
        <v>8.8457544656573255</v>
      </c>
      <c r="R39" s="74">
        <f t="shared" si="6"/>
        <v>6.3053050596974485</v>
      </c>
      <c r="S39" s="74">
        <f t="shared" si="6"/>
        <v>7.016713650985384</v>
      </c>
      <c r="T39" s="74">
        <f t="shared" si="6"/>
        <v>8.3713606385095929</v>
      </c>
      <c r="U39" s="74">
        <f t="shared" si="6"/>
        <v>5.5810935923513574</v>
      </c>
      <c r="V39" s="74">
        <f t="shared" si="6"/>
        <v>5.2968569093992901</v>
      </c>
      <c r="W39" s="74">
        <f t="shared" si="6"/>
        <v>7.0466415002196445</v>
      </c>
      <c r="X39" s="74">
        <f t="shared" si="6"/>
        <v>10.967234160183196</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Rutland</v>
      </c>
      <c r="G44" s="88"/>
      <c r="H44" s="89"/>
      <c r="I44" s="76">
        <f>VLOOKUP($F44,'LOW PAID'!$A$9:$N$444,6,FALSE)</f>
        <v>26.6</v>
      </c>
      <c r="J44" s="77">
        <f>VLOOKUP($F44,'LOW PAID'!$P$9:$W$444,6,FALSE)</f>
        <v>22.6</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Rutland to Rural as a Region</v>
      </c>
      <c r="G47" s="122"/>
      <c r="H47" s="123"/>
      <c r="I47" s="74">
        <f>(I44-I45)</f>
        <v>1.4061253217868845</v>
      </c>
      <c r="J47" s="74">
        <f>(J44-J45)</f>
        <v>-3.0861165090300524</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Rutland</v>
      </c>
      <c r="G52" s="88"/>
      <c r="H52" s="89"/>
      <c r="I52" s="76">
        <f>VLOOKUP($F52,INACTIVITY!$A$6:$BW$345,6,FALSE)</f>
        <v>22.4</v>
      </c>
      <c r="J52" s="77">
        <f>VLOOKUP($F52,INACTIVITY!$A$6:$BW$345,10,FALSE)</f>
        <v>18.5</v>
      </c>
      <c r="K52" s="77">
        <f>VLOOKUP($F52,INACTIVITY!$A$6:$BW$345,14,FALSE)</f>
        <v>18.100000000000001</v>
      </c>
      <c r="L52" s="77">
        <f>VLOOKUP($F52,INACTIVITY!$A$6:$BW$345,18,FALSE)</f>
        <v>20</v>
      </c>
      <c r="M52" s="77">
        <f>VLOOKUP($F52,INACTIVITY!$A$6:$BW$345,22,FALSE)</f>
        <v>22.4</v>
      </c>
      <c r="N52" s="77">
        <f>VLOOKUP($F52,INACTIVITY!$A$6:$BW$345,26,FALSE)</f>
        <v>19.5</v>
      </c>
      <c r="O52" s="77">
        <f>VLOOKUP($F52,INACTIVITY!$A$6:$BW$345,30,FALSE)</f>
        <v>19</v>
      </c>
      <c r="P52" s="77">
        <f>VLOOKUP($F52,INACTIVITY!$A$6:$BW$345,34,FALSE)</f>
        <v>17</v>
      </c>
      <c r="Q52" s="77">
        <f>VLOOKUP($F52,INACTIVITY!$A$6:$BW$345,38,FALSE)</f>
        <v>20.3</v>
      </c>
      <c r="R52" s="77">
        <f>VLOOKUP($F52,INACTIVITY!$A$6:$BW$345,42,FALSE)</f>
        <v>20.100000000000001</v>
      </c>
      <c r="S52" s="77">
        <f>VLOOKUP($F52,INACTIVITY!$A$6:$BW$345,46,FALSE)</f>
        <v>17.2</v>
      </c>
      <c r="T52" s="77">
        <f>VLOOKUP($F52,INACTIVITY!$A$6:$BW$345,50,FALSE)</f>
        <v>20.100000000000001</v>
      </c>
      <c r="U52" s="77">
        <f>VLOOKUP($F52,INACTIVITY!$A$6:$BW$345,54,FALSE)</f>
        <v>17.899999999999999</v>
      </c>
      <c r="V52" s="77">
        <f>VLOOKUP($F52,INACTIVITY!$A$6:$BW$345,58,FALSE)</f>
        <v>16.899999999999999</v>
      </c>
      <c r="W52" s="77">
        <f>VLOOKUP($F52,INACTIVITY!$A$6:$BW$345,62,FALSE)</f>
        <v>18.7</v>
      </c>
      <c r="X52" s="77">
        <f>VLOOKUP($F52,INACTIVITY!$A$6:$BW$345,66,FALSE)</f>
        <v>21.1</v>
      </c>
      <c r="Y52" s="77">
        <f>VLOOKUP($F52,INACTIVITY!$A$6:$BW$345,70,FALSE)</f>
        <v>24.3</v>
      </c>
      <c r="Z52" s="77">
        <f>VLOOKUP($F52,INACTIVITY!$A$6:$BW$345,74,FALSE)</f>
        <v>22.5</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Rutland to Rural as a Region</v>
      </c>
      <c r="G55" s="122"/>
      <c r="H55" s="123"/>
      <c r="I55" s="74">
        <f>(I52-I53)</f>
        <v>1.0043554283897613</v>
      </c>
      <c r="J55" s="74">
        <f t="shared" ref="J55:Z55" si="10">(J52-J53)</f>
        <v>-2.5085227272727266</v>
      </c>
      <c r="K55" s="74">
        <f t="shared" si="10"/>
        <v>-2.7624653934587755</v>
      </c>
      <c r="L55" s="74">
        <f t="shared" si="10"/>
        <v>-1.3140653315366393</v>
      </c>
      <c r="M55" s="74">
        <f t="shared" si="10"/>
        <v>1.5649976891079938</v>
      </c>
      <c r="N55" s="74">
        <f t="shared" si="10"/>
        <v>-1.4331437579204405</v>
      </c>
      <c r="O55" s="74">
        <f t="shared" si="10"/>
        <v>-2.6919371275051738</v>
      </c>
      <c r="P55" s="74">
        <f t="shared" si="10"/>
        <v>-4.4942457807534488</v>
      </c>
      <c r="Q55" s="74">
        <f t="shared" si="10"/>
        <v>-0.88254879448909307</v>
      </c>
      <c r="R55" s="74">
        <f t="shared" si="10"/>
        <v>-0.67459309743876972</v>
      </c>
      <c r="S55" s="74">
        <f t="shared" si="10"/>
        <v>-3.0732104559724007</v>
      </c>
      <c r="T55" s="74">
        <f t="shared" si="10"/>
        <v>0.40380531659304353</v>
      </c>
      <c r="U55" s="74">
        <f t="shared" si="10"/>
        <v>-1.9524293470694722</v>
      </c>
      <c r="V55" s="74">
        <f t="shared" si="10"/>
        <v>-2.3532773342803779</v>
      </c>
      <c r="W55" s="74">
        <f t="shared" si="10"/>
        <v>-0.47695600918284953</v>
      </c>
      <c r="X55" s="74">
        <f t="shared" si="10"/>
        <v>2.2479350506350713</v>
      </c>
      <c r="Y55" s="74">
        <f t="shared" si="10"/>
        <v>4.5274172781285387</v>
      </c>
      <c r="Z55" s="74">
        <f t="shared" si="10"/>
        <v>1.4148202243699295</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Rutland</v>
      </c>
      <c r="G60" s="88"/>
      <c r="H60" s="89"/>
      <c r="I60" s="76">
        <f>VLOOKUP($F60,DISABILITY!$A$718:$I$1052,DISABILITY!B$1053,FALSE)</f>
        <v>1.3999999999999915</v>
      </c>
      <c r="J60" s="77">
        <f>VLOOKUP($F60,DISABILITY!$A$718:$I$1052,DISABILITY!C$1053,FALSE)</f>
        <v>25.000000000000007</v>
      </c>
      <c r="K60" s="77">
        <f>VLOOKUP($F60,DISABILITY!$A$718:$I$1052,DISABILITY!D$1053,FALSE)</f>
        <v>12.700000000000003</v>
      </c>
      <c r="L60" s="77">
        <f>VLOOKUP($F60,DISABILITY!$A$718:$I$1052,DISABILITY!E$1053,FALSE)</f>
        <v>12</v>
      </c>
      <c r="M60" s="77">
        <f>VLOOKUP($F60,DISABILITY!$A$718:$I$1052,DISABILITY!F$1053,FALSE)</f>
        <v>11.400000000000006</v>
      </c>
      <c r="N60" s="77">
        <f>VLOOKUP($F60,DISABILITY!$A$718:$I$1052,DISABILITY!G$1053,FALSE)</f>
        <v>28.099999999999994</v>
      </c>
      <c r="O60" s="77">
        <f>VLOOKUP($F60,DISABILITY!$A$718:$I$1052,DISABILITY!H$1053,FALSE)</f>
        <v>7.7000000000000028</v>
      </c>
      <c r="P60" s="77">
        <f>VLOOKUP($F60,DISABILITY!$A$718:$I$1052,DISABILITY!I$1053,FALSE)</f>
        <v>31.6</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Rutland to Rural as a Region</v>
      </c>
      <c r="G63" s="122"/>
      <c r="H63" s="123"/>
      <c r="I63" s="74">
        <f>(I60-I61)</f>
        <v>-26.020156540647257</v>
      </c>
      <c r="J63" s="74">
        <f t="shared" ref="J63:P63" si="12">(J60-J61)</f>
        <v>-2.3190444070511802</v>
      </c>
      <c r="K63" s="74">
        <f t="shared" si="12"/>
        <v>-15.419128361498203</v>
      </c>
      <c r="L63" s="74">
        <f t="shared" si="12"/>
        <v>-13.990934538996676</v>
      </c>
      <c r="M63" s="74">
        <f t="shared" si="12"/>
        <v>-14.075225818666112</v>
      </c>
      <c r="N63" s="74">
        <f t="shared" si="12"/>
        <v>2.5687523145580116</v>
      </c>
      <c r="O63" s="74">
        <f t="shared" si="12"/>
        <v>-16.097222287996942</v>
      </c>
      <c r="P63" s="74">
        <f t="shared" si="12"/>
        <v>6.2458220696578266</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Rutland</v>
      </c>
      <c r="G68" s="88"/>
      <c r="H68" s="89"/>
      <c r="I68" s="76" t="str">
        <f>VLOOKUP($F68,'WORKLESS HOUSEHOLDS'!$DW$4:$EC$397,7,FALSE)</f>
        <v>*</v>
      </c>
      <c r="J68" s="77">
        <f>VLOOKUP($F68,'WORKLESS HOUSEHOLDS'!$DN$4:$DT$397,7,FALSE)</f>
        <v>10.402114638660587</v>
      </c>
      <c r="K68" s="77" t="str">
        <f>VLOOKUP($F68,'WORKLESS HOUSEHOLDS'!$DE$4:$DK$397,7,FALSE)</f>
        <v>*</v>
      </c>
      <c r="L68" s="77">
        <f>VLOOKUP($F68,'WORKLESS HOUSEHOLDS'!$CV$4:$DB$397,7,FALSE)</f>
        <v>12.263183858541826</v>
      </c>
      <c r="M68" s="77">
        <f>VLOOKUP($F68,'WORKLESS HOUSEHOLDS'!$CM$4:$CS$397,7,FALSE)</f>
        <v>7.8939418516572895</v>
      </c>
      <c r="N68" s="77" t="str">
        <f>VLOOKUP($F68,'WORKLESS HOUSEHOLDS'!$CD$4:$CJ$397,7,FALSE)</f>
        <v>*</v>
      </c>
      <c r="O68" s="77" t="str">
        <f>VLOOKUP($F68,'WORKLESS HOUSEHOLDS'!$BU$4:$CA$397,7,FALSE)</f>
        <v>#</v>
      </c>
      <c r="P68" s="77" t="str">
        <f>VLOOKUP($F68,'WORKLESS HOUSEHOLDS'!$BL$4:$BR$397,7,FALSE)</f>
        <v>#</v>
      </c>
      <c r="Q68" s="77" t="str">
        <f>VLOOKUP($F68,'WORKLESS HOUSEHOLDS'!$BC$4:$BI$397,7,FALSE)</f>
        <v>#</v>
      </c>
      <c r="R68" s="77">
        <f>VLOOKUP($F68,'WORKLESS HOUSEHOLDS'!$AT$4:$AZ$397,7,FALSE)</f>
        <v>2.4911579271105646</v>
      </c>
      <c r="S68" s="77" t="str">
        <f>VLOOKUP($F68,'WORKLESS HOUSEHOLDS'!$AK$4:$AQ$397,7,FALSE)</f>
        <v>#</v>
      </c>
      <c r="T68" s="77" t="str">
        <f>VLOOKUP($F68,'WORKLESS HOUSEHOLDS'!$AB$4:$AH$397,7,FALSE)</f>
        <v>#</v>
      </c>
      <c r="U68" s="77">
        <f>VLOOKUP($F68,'WORKLESS HOUSEHOLDS'!$S$4:$Y$397,7,FALSE)</f>
        <v>3.4126333059885154</v>
      </c>
      <c r="V68" s="77">
        <f>VLOOKUP($F68,'WORKLESS HOUSEHOLDS'!$J$4:$P$397,7,FALSE)</f>
        <v>3.9493019838354155</v>
      </c>
      <c r="W68" s="77" t="str">
        <f>VLOOKUP($F68,'WORKLESS HOUSEHOLDS'!$B$4:$H$397,7,FALSE)</f>
        <v>n/a</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Rutland to Rural as a Region</v>
      </c>
      <c r="G71" s="122"/>
      <c r="H71" s="123"/>
      <c r="I71" s="74" t="e">
        <f>(I68-I69)</f>
        <v>#VALUE!</v>
      </c>
      <c r="J71" s="74">
        <f t="shared" ref="J71:W71" si="14">(J68-J69)</f>
        <v>-0.50904019881443752</v>
      </c>
      <c r="K71" s="74" t="e">
        <f t="shared" si="14"/>
        <v>#VALUE!</v>
      </c>
      <c r="L71" s="74">
        <f t="shared" si="14"/>
        <v>1.2971771972120933</v>
      </c>
      <c r="M71" s="74">
        <f t="shared" si="14"/>
        <v>-3.7998373295311838</v>
      </c>
      <c r="N71" s="74" t="e">
        <f t="shared" si="14"/>
        <v>#VALUE!</v>
      </c>
      <c r="O71" s="74" t="e">
        <f t="shared" si="14"/>
        <v>#VALUE!</v>
      </c>
      <c r="P71" s="74" t="e">
        <f t="shared" si="14"/>
        <v>#VALUE!</v>
      </c>
      <c r="Q71" s="74" t="e">
        <f t="shared" si="14"/>
        <v>#VALUE!</v>
      </c>
      <c r="R71" s="74">
        <f t="shared" si="14"/>
        <v>-8.2149383966189902</v>
      </c>
      <c r="S71" s="74" t="e">
        <f t="shared" si="14"/>
        <v>#VALUE!</v>
      </c>
      <c r="T71" s="74" t="e">
        <f t="shared" si="14"/>
        <v>#VALUE!</v>
      </c>
      <c r="U71" s="74">
        <f t="shared" si="14"/>
        <v>-7.3494168586909598</v>
      </c>
      <c r="V71" s="74">
        <f t="shared" si="14"/>
        <v>-5.9895664927042329</v>
      </c>
      <c r="W71" s="74" t="e">
        <f t="shared" si="14"/>
        <v>#VALUE!</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Rutland</v>
      </c>
      <c r="G76" s="88"/>
      <c r="H76" s="89"/>
      <c r="I76" s="76">
        <f>VLOOKUP($F76,'SKILLED EMPLOYMENT'!$A$1506:$BW$1841,6,FALSE)</f>
        <v>59.1</v>
      </c>
      <c r="J76" s="77">
        <f>VLOOKUP($F76,'SKILLED EMPLOYMENT'!$A$1506:$BW$1841,10,FALSE)</f>
        <v>63.399999999999991</v>
      </c>
      <c r="K76" s="77">
        <f>VLOOKUP($F76,'SKILLED EMPLOYMENT'!$A$1506:$BW$1841,14,FALSE)</f>
        <v>62.2</v>
      </c>
      <c r="L76" s="77">
        <f>VLOOKUP($F76,'SKILLED EMPLOYMENT'!$A$1506:$BW$1841,18,FALSE)</f>
        <v>60.5</v>
      </c>
      <c r="M76" s="77">
        <f>VLOOKUP($F76,'SKILLED EMPLOYMENT'!$A$1506:$BW$1841,22,FALSE)</f>
        <v>60.699999999999996</v>
      </c>
      <c r="N76" s="77">
        <f>VLOOKUP($F76,'SKILLED EMPLOYMENT'!$A$1506:$BW$1841,26,FALSE)</f>
        <v>58.900000000000006</v>
      </c>
      <c r="O76" s="77">
        <f>VLOOKUP($F76,'SKILLED EMPLOYMENT'!$A$1506:$BW$1841,30,FALSE)</f>
        <v>63.5</v>
      </c>
      <c r="P76" s="77">
        <f>VLOOKUP($F76,'SKILLED EMPLOYMENT'!$A$1506:$BW$1841,34,FALSE)</f>
        <v>61.699999999999996</v>
      </c>
      <c r="Q76" s="77">
        <f>VLOOKUP($F76,'SKILLED EMPLOYMENT'!$A$1506:$BW$1841,38,FALSE)</f>
        <v>62.3</v>
      </c>
      <c r="R76" s="77">
        <f>VLOOKUP($F76,'SKILLED EMPLOYMENT'!$A$1506:$BW$1841,42,FALSE)</f>
        <v>64.8</v>
      </c>
      <c r="S76" s="77">
        <f>VLOOKUP($F76,'SKILLED EMPLOYMENT'!$A$1506:$BW$1841,46,FALSE)</f>
        <v>60.3</v>
      </c>
      <c r="T76" s="77">
        <f>VLOOKUP($F76,'SKILLED EMPLOYMENT'!$A$1506:$BW$1841,50,FALSE)</f>
        <v>60.3</v>
      </c>
      <c r="U76" s="77">
        <f>VLOOKUP($F76,'SKILLED EMPLOYMENT'!$A$1506:$BW$1841,54,FALSE)</f>
        <v>66.800000000000011</v>
      </c>
      <c r="V76" s="77">
        <f>VLOOKUP($F76,'SKILLED EMPLOYMENT'!$A$1506:$BW$1841,58,FALSE)</f>
        <v>57.4</v>
      </c>
      <c r="W76" s="77">
        <f>VLOOKUP($F76,'SKILLED EMPLOYMENT'!$A$1506:$BW$1841,62,FALSE)</f>
        <v>64.2</v>
      </c>
      <c r="X76" s="77">
        <f>VLOOKUP($F76,'SKILLED EMPLOYMENT'!$A$1506:$BW$1841,66,FALSE)</f>
        <v>62.9</v>
      </c>
      <c r="Y76" s="77">
        <f>VLOOKUP($F76,'SKILLED EMPLOYMENT'!$A$1506:$BW$1841,70,FALSE)</f>
        <v>70.400000000000006</v>
      </c>
      <c r="Z76" s="77">
        <f>VLOOKUP($F76,'SKILLED EMPLOYMENT'!$A$1506:$BW$1841,74,FALSE)</f>
        <v>68.400000000000006</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Rutland to Rural as a Region</v>
      </c>
      <c r="G79" s="122"/>
      <c r="H79" s="123"/>
      <c r="I79" s="74">
        <f>(I76-I77)</f>
        <v>6.3999999999999986</v>
      </c>
      <c r="J79" s="74">
        <f t="shared" ref="J79:Z79" si="17">(J76-J77)</f>
        <v>10.499999999999993</v>
      </c>
      <c r="K79" s="74">
        <f t="shared" si="17"/>
        <v>8.7000000000000028</v>
      </c>
      <c r="L79" s="74">
        <f t="shared" si="17"/>
        <v>6.5</v>
      </c>
      <c r="M79" s="74">
        <f t="shared" si="17"/>
        <v>6.5999999999999943</v>
      </c>
      <c r="N79" s="74">
        <f t="shared" si="17"/>
        <v>4.5000000000000071</v>
      </c>
      <c r="O79" s="74">
        <f t="shared" si="17"/>
        <v>8.1000000000000014</v>
      </c>
      <c r="P79" s="74">
        <f t="shared" si="17"/>
        <v>6.0999999999999943</v>
      </c>
      <c r="Q79" s="74">
        <f t="shared" si="17"/>
        <v>6.8999999999999986</v>
      </c>
      <c r="R79" s="74">
        <f t="shared" si="17"/>
        <v>8.5999999999999943</v>
      </c>
      <c r="S79" s="74">
        <f t="shared" si="17"/>
        <v>4.0999999999999943</v>
      </c>
      <c r="T79" s="74">
        <f t="shared" si="17"/>
        <v>3.5</v>
      </c>
      <c r="U79" s="74">
        <f t="shared" si="17"/>
        <v>10.20000000000001</v>
      </c>
      <c r="V79" s="74">
        <f t="shared" si="17"/>
        <v>0.29999999999999716</v>
      </c>
      <c r="W79" s="74">
        <f t="shared" si="17"/>
        <v>6.4000000000000057</v>
      </c>
      <c r="X79" s="74">
        <f t="shared" si="17"/>
        <v>4.1000000000000014</v>
      </c>
      <c r="Y79" s="74">
        <f t="shared" si="17"/>
        <v>11.700000000000003</v>
      </c>
      <c r="Z79" s="74">
        <f t="shared" si="17"/>
        <v>10.000000000000007</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g2V50lN66jRGhsLAXqOKRwZBmGelCBMZOiW3Hdde9AHkV6UMxgOiKGGNFLyzDxLGm12Huev9SLK0p361iN5Qnw==" saltValue="vDksJ+WHGJT4p49LZ3AIgg=="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2022-06-29T15:16:23Z</cp:lastPrinted>
  <dcterms:created xsi:type="dcterms:W3CDTF">2022-05-30T09:14:22Z</dcterms:created>
  <dcterms:modified xsi:type="dcterms:W3CDTF">2022-08-02T13:09:07Z</dcterms:modified>
</cp:coreProperties>
</file>