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9" documentId="8_{297FE02F-FFC3-41DC-B8B3-5F04CBE9CAB1}" xr6:coauthVersionLast="47" xr6:coauthVersionMax="47" xr10:uidLastSave="{DC7A42EA-B2DA-439B-8679-357E2414C802}"/>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F31" i="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<sst xmlns="http://schemas.openxmlformats.org/spreadsheetml/2006/main" count="32859" uniqueCount="1676">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</sst>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Ryedale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17.420000000000002</c:v>
                </c:pt>
                <c:pt idx="1">
                  <c:v>17.68</c:v>
                </c:pt>
                <c:pt idx="2">
                  <c:v>17.39</c:v>
                </c:pt>
                <c:pt idx="3">
                  <c:v>17.940000000000001</c:v>
                </c:pt>
                <c:pt idx="4">
                  <c:v>18.850000000000001</c:v>
                </c:pt>
                <c:pt idx="5">
                  <c:v>19.77</c:v>
                </c:pt>
                <c:pt idx="6">
                  <c:v>20.87</c:v>
                </c:pt>
                <c:pt idx="7">
                  <c:v>22.29</c:v>
                </c:pt>
                <c:pt idx="8">
                  <c:v>23.22</c:v>
                </c:pt>
                <c:pt idx="9">
                  <c:v>23.36</c:v>
                </c:pt>
                <c:pt idx="10">
                  <c:v>23.13</c:v>
                </c:pt>
                <c:pt idx="11">
                  <c:v>23.69</c:v>
                </c:pt>
                <c:pt idx="12">
                  <c:v>25.35</c:v>
                </c:pt>
                <c:pt idx="13">
                  <c:v>27.21</c:v>
                </c:pt>
                <c:pt idx="14">
                  <c:v>28.64</c:v>
                </c:pt>
                <c:pt idx="15">
                  <c:v>29.24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Ryedale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393.8</c:v>
                </c:pt>
                <c:pt idx="1">
                  <c:v>384.2</c:v>
                </c:pt>
                <c:pt idx="2">
                  <c:v>423.4</c:v>
                </c:pt>
                <c:pt idx="3">
                  <c:v>399.1</c:v>
                </c:pt>
                <c:pt idx="4">
                  <c:v>395.7</c:v>
                </c:pt>
                <c:pt idx="5">
                  <c:v>412.6</c:v>
                </c:pt>
                <c:pt idx="6">
                  <c:v>420.2</c:v>
                </c:pt>
                <c:pt idx="7">
                  <c:v>410.4</c:v>
                </c:pt>
                <c:pt idx="8">
                  <c:v>461.1</c:v>
                </c:pt>
                <c:pt idx="9">
                  <c:v>454.4</c:v>
                </c:pt>
                <c:pt idx="10">
                  <c:v>468.2</c:v>
                </c:pt>
                <c:pt idx="11">
                  <c:v>491.5</c:v>
                </c:pt>
                <c:pt idx="12">
                  <c:v>455.1</c:v>
                </c:pt>
                <c:pt idx="13">
                  <c:v>502.4</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Ryedale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79.2</c:v>
                </c:pt>
                <c:pt idx="1">
                  <c:v>80.7</c:v>
                </c:pt>
                <c:pt idx="2">
                  <c:v>73.099999999999994</c:v>
                </c:pt>
                <c:pt idx="3">
                  <c:v>71.5</c:v>
                </c:pt>
                <c:pt idx="4">
                  <c:v>76.2</c:v>
                </c:pt>
                <c:pt idx="5">
                  <c:v>83.2</c:v>
                </c:pt>
                <c:pt idx="6">
                  <c:v>75.2</c:v>
                </c:pt>
                <c:pt idx="7">
                  <c:v>76.7</c:v>
                </c:pt>
                <c:pt idx="8">
                  <c:v>74.7</c:v>
                </c:pt>
                <c:pt idx="9">
                  <c:v>80.900000000000006</c:v>
                </c:pt>
                <c:pt idx="10">
                  <c:v>84.2</c:v>
                </c:pt>
                <c:pt idx="11">
                  <c:v>79.099999999999994</c:v>
                </c:pt>
                <c:pt idx="12">
                  <c:v>77</c:v>
                </c:pt>
                <c:pt idx="13">
                  <c:v>83.5</c:v>
                </c:pt>
                <c:pt idx="14">
                  <c:v>81.3</c:v>
                </c:pt>
                <c:pt idx="15">
                  <c:v>79.099999999999994</c:v>
                </c:pt>
                <c:pt idx="16">
                  <c:v>70.7</c:v>
                </c:pt>
                <c:pt idx="17">
                  <c:v>76.599999999999994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Ryedale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14482</c:v>
                </c:pt>
                <c:pt idx="1">
                  <c:v>15322</c:v>
                </c:pt>
                <c:pt idx="2">
                  <c:v>16282</c:v>
                </c:pt>
                <c:pt idx="3">
                  <c:v>16839</c:v>
                </c:pt>
                <c:pt idx="4">
                  <c:v>17292</c:v>
                </c:pt>
                <c:pt idx="5">
                  <c:v>17794</c:v>
                </c:pt>
                <c:pt idx="6">
                  <c:v>17887</c:v>
                </c:pt>
                <c:pt idx="7">
                  <c:v>18386</c:v>
                </c:pt>
                <c:pt idx="8">
                  <c:v>18967</c:v>
                </c:pt>
                <c:pt idx="9">
                  <c:v>19379</c:v>
                </c:pt>
                <c:pt idx="10">
                  <c:v>19462</c:v>
                </c:pt>
                <c:pt idx="11">
                  <c:v>20684</c:v>
                </c:pt>
                <c:pt idx="12">
                  <c:v>20716</c:v>
                </c:pt>
                <c:pt idx="13">
                  <c:v>21034</c:v>
                </c:pt>
                <c:pt idx="14">
                  <c:v>21852</c:v>
                </c:pt>
                <c:pt idx="15">
                  <c:v>22044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Ryedale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29.1</c:v>
                </c:pt>
                <c:pt idx="1">
                  <c:v>29.9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Ryedale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19.399999999999999</c:v>
                </c:pt>
                <c:pt idx="1">
                  <c:v>17.600000000000001</c:v>
                </c:pt>
                <c:pt idx="2">
                  <c:v>23.3</c:v>
                </c:pt>
                <c:pt idx="3">
                  <c:v>25.7</c:v>
                </c:pt>
                <c:pt idx="4">
                  <c:v>22.3</c:v>
                </c:pt>
                <c:pt idx="5">
                  <c:v>15.7</c:v>
                </c:pt>
                <c:pt idx="6">
                  <c:v>20.6</c:v>
                </c:pt>
                <c:pt idx="7">
                  <c:v>20.2</c:v>
                </c:pt>
                <c:pt idx="8">
                  <c:v>20.399999999999999</c:v>
                </c:pt>
                <c:pt idx="9">
                  <c:v>17.100000000000001</c:v>
                </c:pt>
                <c:pt idx="10">
                  <c:v>14.7</c:v>
                </c:pt>
                <c:pt idx="11">
                  <c:v>18.8</c:v>
                </c:pt>
                <c:pt idx="12">
                  <c:v>20.100000000000001</c:v>
                </c:pt>
                <c:pt idx="13">
                  <c:v>12.5</c:v>
                </c:pt>
                <c:pt idx="14">
                  <c:v>14.8</c:v>
                </c:pt>
                <c:pt idx="15">
                  <c:v>18.899999999999999</c:v>
                </c:pt>
                <c:pt idx="16">
                  <c:v>29.3</c:v>
                </c:pt>
                <c:pt idx="17">
                  <c:v>20.2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Ryedale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39.899999999999991</c:v>
                </c:pt>
                <c:pt idx="1">
                  <c:v>4.0999999999999943</c:v>
                </c:pt>
                <c:pt idx="2">
                  <c:v>19.299999999999997</c:v>
                </c:pt>
                <c:pt idx="3">
                  <c:v>24.5</c:v>
                </c:pt>
                <c:pt idx="4">
                  <c:v>19.700000000000003</c:v>
                </c:pt>
                <c:pt idx="5">
                  <c:v>6.5999999999999943</c:v>
                </c:pt>
                <c:pt idx="6">
                  <c:v>19.699999999999996</c:v>
                </c:pt>
                <c:pt idx="7">
                  <c:v>-8.8999999999999915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Ryedale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14.55119098747894</c:v>
                </c:pt>
                <c:pt idx="1">
                  <c:v>14.135026239503976</c:v>
                </c:pt>
                <c:pt idx="2">
                  <c:v>6.6060095211552277</c:v>
                </c:pt>
                <c:pt idx="3">
                  <c:v>0</c:v>
                </c:pt>
                <c:pt idx="4">
                  <c:v>0</c:v>
                </c:pt>
                <c:pt idx="5">
                  <c:v>0</c:v>
                </c:pt>
                <c:pt idx="6">
                  <c:v>0</c:v>
                </c:pt>
                <c:pt idx="7">
                  <c:v>0</c:v>
                </c:pt>
                <c:pt idx="8">
                  <c:v>0</c:v>
                </c:pt>
                <c:pt idx="9">
                  <c:v>11.45104895104895</c:v>
                </c:pt>
                <c:pt idx="10">
                  <c:v>0</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Ryedale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52.599999999999994</c:v>
                </c:pt>
                <c:pt idx="1">
                  <c:v>50</c:v>
                </c:pt>
                <c:pt idx="2">
                  <c:v>42.8</c:v>
                </c:pt>
                <c:pt idx="3">
                  <c:v>49.099999999999994</c:v>
                </c:pt>
                <c:pt idx="4">
                  <c:v>49.599999999999994</c:v>
                </c:pt>
                <c:pt idx="5">
                  <c:v>62.599999999999994</c:v>
                </c:pt>
                <c:pt idx="6">
                  <c:v>62.800000000000004</c:v>
                </c:pt>
                <c:pt idx="7">
                  <c:v>61.9</c:v>
                </c:pt>
                <c:pt idx="8">
                  <c:v>54.5</c:v>
                </c:pt>
                <c:pt idx="9">
                  <c:v>56.1</c:v>
                </c:pt>
                <c:pt idx="10">
                  <c:v>64.300000000000011</c:v>
                </c:pt>
                <c:pt idx="11">
                  <c:v>56.6</c:v>
                </c:pt>
                <c:pt idx="12">
                  <c:v>53.3</c:v>
                </c:pt>
                <c:pt idx="13">
                  <c:v>69.300000000000011</c:v>
                </c:pt>
                <c:pt idx="14">
                  <c:v>56</c:v>
                </c:pt>
                <c:pt idx="15">
                  <c:v>72.900000000000006</c:v>
                </c:pt>
                <c:pt idx="16">
                  <c:v>65.2</c:v>
                </c:pt>
                <c:pt idx="17">
                  <c:v>58.8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Ryedale has generally been in line with or greater than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Ryedale very closely follows the rural situation.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327660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096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Ryedale is above both the rural and England situation in both 2017 and 2018, with little change in the gap.</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Ryedale's economic inactivity rate has fluctuated over the years but is in general below both the </a:t>
          </a:r>
          <a:r>
            <a:rPr lang="en-GB" sz="1100">
              <a:latin typeface="Avenir Next LT Pro" panose="020B0504020202020204" pitchFamily="34" charset="0"/>
            </a:rPr>
            <a:t>England and rural situations.</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Ryedale from 2014 to 2021 is in general below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69</xdr:row>
      <xdr:rowOff>601980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8305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Ryedale from 2006 to 2020 is unclear due to a lack of data.</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Ryedale is in general either in line with or above the rural and England situations.</a:t>
          </a:r>
          <a:endParaRPr lang="en-GB" sz="1100">
            <a:latin typeface="Avenir Next LT Pro" panose="020B0504020202020204" pitchFamily="34" charset="0"/>
          </a:endParaRPr>
        </a:p>
      </xdr:txBody>
    </xdr:sp>
    <xdr:clientData/>
  </xdr:twoCellAnchor>
  <xdr:twoCellAnchor>
    <xdr:from>
      <xdr:col>0</xdr:col>
      <xdr:colOff>563880</xdr:colOff>
      <xdr:row>12</xdr:row>
      <xdr:rowOff>548640</xdr:rowOff>
    </xdr:from>
    <xdr:to>
      <xdr:col>1</xdr:col>
      <xdr:colOff>2545080</xdr:colOff>
      <xdr:row>14</xdr:row>
      <xdr:rowOff>53340</xdr:rowOff>
    </xdr:to>
    <xdr:sp macro="" textlink="">
      <xdr:nvSpPr>
        <xdr:cNvPr id="20" name="TextBox 19">
          <a:extLst>
            <a:ext uri="{FF2B5EF4-FFF2-40B4-BE49-F238E27FC236}">
              <a16:creationId xmlns:a16="http://schemas.microsoft.com/office/drawing/2014/main" id="{EC0CDA06-C7A5-4C5D-9FE9-8D768FEEFF0C}"/>
            </a:ext>
          </a:extLst>
        </xdr:cNvPr>
        <xdr:cNvSpPr txBox="1"/>
      </xdr:nvSpPr>
      <xdr:spPr>
        <a:xfrm>
          <a:off x="563880" y="35356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Ryedale in 2004 was markedly below that for either 'Rural as a Region' or England, but a superior rate of increase to 2019 saw it close to within 4% of the rural situation.</a:t>
          </a:r>
          <a:endParaRPr lang="en-GB" sz="1100">
            <a:latin typeface="Avenir Next LT Pro" panose="020B0504020202020204" pitchFamily="34" charset="0"/>
          </a:endParaRPr>
        </a:p>
      </xdr:txBody>
    </xdr:sp>
    <xdr:clientData/>
  </xdr:twoCellAnchor>
  <xdr:twoCellAnchor>
    <xdr:from>
      <xdr:col>0</xdr:col>
      <xdr:colOff>624840</xdr:colOff>
      <xdr:row>20</xdr:row>
      <xdr:rowOff>586740</xdr:rowOff>
    </xdr:from>
    <xdr:to>
      <xdr:col>1</xdr:col>
      <xdr:colOff>2606040</xdr:colOff>
      <xdr:row>22</xdr:row>
      <xdr:rowOff>114300</xdr:rowOff>
    </xdr:to>
    <xdr:sp macro="" textlink="">
      <xdr:nvSpPr>
        <xdr:cNvPr id="21" name="TextBox 20">
          <a:extLst>
            <a:ext uri="{FF2B5EF4-FFF2-40B4-BE49-F238E27FC236}">
              <a16:creationId xmlns:a16="http://schemas.microsoft.com/office/drawing/2014/main" id="{FB83F3FA-D567-4A11-929A-C86708487887}"/>
            </a:ext>
          </a:extLst>
        </xdr:cNvPr>
        <xdr:cNvSpPr txBox="1"/>
      </xdr:nvSpPr>
      <xdr:spPr>
        <a:xfrm>
          <a:off x="624840" y="75133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Ryedale has fluctuated a little over the years, but is consistently below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Ryedale</v>
      </c>
      <c r="G12" s="88" t="str">
        <f>IFERROR(VLOOKUP(F12,GVA!B244:B552,1,FALSE),VLOOKUP(F12,GVA!B6:C230,2,FALSE))</f>
        <v>Ryedale</v>
      </c>
      <c r="H12" s="89" t="str">
        <f>IF(F12=G12,"",G12)</f>
        <v/>
      </c>
      <c r="I12" s="76">
        <f>IFERROR(VLOOKUP($F12,GVA!$B$7:$S$230,GVA!D$3,FALSE),VLOOKUP($F12,GVA!$B$244:$T$554,GVA!E$3,FALSE))</f>
        <v>17.420000000000002</v>
      </c>
      <c r="J12" s="77">
        <f>IFERROR(VLOOKUP($F12,GVA!$B$7:$S$230,GVA!E$3,FALSE),VLOOKUP($F12,GVA!$B$244:$T$554,GVA!F$3,FALSE))</f>
        <v>17.68</v>
      </c>
      <c r="K12" s="77">
        <f>IFERROR(VLOOKUP($F12,GVA!$B$7:$S$230,GVA!F$3,FALSE),VLOOKUP($F12,GVA!$B$244:$T$554,GVA!G$3,FALSE))</f>
        <v>17.39</v>
      </c>
      <c r="L12" s="77">
        <f>IFERROR(VLOOKUP($F12,GVA!$B$7:$S$230,GVA!G$3,FALSE),VLOOKUP($F12,GVA!$B$244:$T$554,GVA!H$3,FALSE))</f>
        <v>17.940000000000001</v>
      </c>
      <c r="M12" s="77">
        <f>IFERROR(VLOOKUP($F12,GVA!$B$7:$S$230,GVA!H$3,FALSE),VLOOKUP($F12,GVA!$B$244:$T$554,GVA!I$3,FALSE))</f>
        <v>18.850000000000001</v>
      </c>
      <c r="N12" s="77">
        <f>IFERROR(VLOOKUP($F12,GVA!$B$7:$S$230,GVA!I$3,FALSE),VLOOKUP($F12,GVA!$B$244:$T$554,GVA!J$3,FALSE))</f>
        <v>19.77</v>
      </c>
      <c r="O12" s="77">
        <f>IFERROR(VLOOKUP($F12,GVA!$B$7:$S$230,GVA!J$3,FALSE),VLOOKUP($F12,GVA!$B$244:$T$554,GVA!K$3,FALSE))</f>
        <v>20.87</v>
      </c>
      <c r="P12" s="77">
        <f>IFERROR(VLOOKUP($F12,GVA!$B$7:$S$230,GVA!K$3,FALSE),VLOOKUP($F12,GVA!$B$244:$T$554,GVA!L$3,FALSE))</f>
        <v>22.29</v>
      </c>
      <c r="Q12" s="77">
        <f>IFERROR(VLOOKUP($F12,GVA!$B$7:$S$230,GVA!L$3,FALSE),VLOOKUP($F12,GVA!$B$244:$T$554,GVA!M$3,FALSE))</f>
        <v>23.22</v>
      </c>
      <c r="R12" s="77">
        <f>IFERROR(VLOOKUP($F12,GVA!$B$7:$S$230,GVA!M$3,FALSE),VLOOKUP($F12,GVA!$B$244:$T$554,GVA!N$3,FALSE))</f>
        <v>23.36</v>
      </c>
      <c r="S12" s="77">
        <f>IFERROR(VLOOKUP($F12,GVA!$B$7:$S$230,GVA!N$3,FALSE),VLOOKUP($F12,GVA!$B$244:$T$554,GVA!O$3,FALSE))</f>
        <v>23.13</v>
      </c>
      <c r="T12" s="77">
        <f>IFERROR(VLOOKUP($F12,GVA!$B$7:$S$230,GVA!O$3,FALSE),VLOOKUP($F12,GVA!$B$244:$T$554,GVA!P$3,FALSE))</f>
        <v>23.69</v>
      </c>
      <c r="U12" s="77">
        <f>IFERROR(VLOOKUP($F12,GVA!$B$7:$S$230,GVA!P$3,FALSE),VLOOKUP($F12,GVA!$B$244:$T$554,GVA!Q$3,FALSE))</f>
        <v>25.35</v>
      </c>
      <c r="V12" s="77">
        <f>IFERROR(VLOOKUP($F12,GVA!$B$7:$S$230,GVA!Q$3,FALSE),VLOOKUP($F12,GVA!$B$244:$T$554,GVA!R$3,FALSE))</f>
        <v>27.21</v>
      </c>
      <c r="W12" s="77">
        <f>IFERROR(VLOOKUP($F12,GVA!$B$7:$S$230,GVA!R$3,FALSE),VLOOKUP($F12,GVA!$B$244:$T$554,GVA!S$3,FALSE))</f>
        <v>28.64</v>
      </c>
      <c r="X12" s="77">
        <f>IFERROR(VLOOKUP($F12,GVA!$B$7:$S$230,GVA!S$3,FALSE),VLOOKUP($F12,GVA!$B$244:$T$554,GVA!T$3,FALSE))</f>
        <v>29.24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Ryedale to Rural as a Region</v>
      </c>
      <c r="G15" s="122"/>
      <c r="H15" s="123"/>
      <c r="I15" s="74">
        <f>100*((I12-I13)/I13)</f>
        <v>-25.998675007712222</v>
      </c>
      <c r="J15" s="74">
        <f t="shared" ref="J15:X15" si="0">100*((J12-J13)/J13)</f>
        <v>-24.685072113921745</v>
      </c>
      <c r="K15" s="74">
        <f t="shared" si="0"/>
        <v>-28.447781810700835</v>
      </c>
      <c r="L15" s="74">
        <f t="shared" si="0"/>
        <v>-27.773623971933066</v>
      </c>
      <c r="M15" s="74">
        <f t="shared" si="0"/>
        <v>-25.389802236326865</v>
      </c>
      <c r="N15" s="74">
        <f t="shared" si="0"/>
        <v>-22.387613274696108</v>
      </c>
      <c r="O15" s="74">
        <f t="shared" si="0"/>
        <v>-19.077535231747088</v>
      </c>
      <c r="P15" s="74">
        <f t="shared" si="0"/>
        <v>-14.841244934437627</v>
      </c>
      <c r="Q15" s="74">
        <f t="shared" si="0"/>
        <v>-13.068592057761746</v>
      </c>
      <c r="R15" s="74">
        <f t="shared" si="0"/>
        <v>-14.035249122714823</v>
      </c>
      <c r="S15" s="74">
        <f t="shared" si="0"/>
        <v>-16.270410735756151</v>
      </c>
      <c r="T15" s="74">
        <f t="shared" si="0"/>
        <v>-15.837999695488131</v>
      </c>
      <c r="U15" s="74">
        <f t="shared" si="0"/>
        <v>-12.092176476173545</v>
      </c>
      <c r="V15" s="74">
        <f t="shared" si="0"/>
        <v>-8.1389787593191603</v>
      </c>
      <c r="W15" s="74">
        <f t="shared" si="0"/>
        <v>-5.2734782591575486</v>
      </c>
      <c r="X15" s="74">
        <f t="shared" si="0"/>
        <v>-4.2921548838605057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Ryedale</v>
      </c>
      <c r="G20" s="88"/>
      <c r="H20" s="89"/>
      <c r="I20" s="80">
        <f>IF(VLOOKUP($F20,PAY!$A$11:$AE$349,4,FALSE)="-",#N/A,VLOOKUP($F20,PAY!$A$11:$AE$349,4,FALSE))</f>
        <v>393.8</v>
      </c>
      <c r="J20" s="80">
        <f>IF(VLOOKUP($F20,PAY!$A$11:$AE$349,6,FALSE)="-",#N/A,VLOOKUP($F20,PAY!$A$11:$AE$349,6,FALSE))</f>
        <v>384.2</v>
      </c>
      <c r="K20" s="80">
        <f>IF(VLOOKUP($F20,PAY!$A$11:$AE$349,8,FALSE)="-",#N/A,VLOOKUP($F20,PAY!$A$11:$AE$349,8,FALSE))</f>
        <v>423.4</v>
      </c>
      <c r="L20" s="80">
        <f>IF(VLOOKUP($F20,PAY!$A$11:$AE$349,10,FALSE)="-",#N/A,VLOOKUP($F20,PAY!$A$11:$AE$349,10,FALSE))</f>
        <v>399.1</v>
      </c>
      <c r="M20" s="80">
        <f>IF(VLOOKUP($F20,PAY!$A$11:$AE$349,12,FALSE)="-",#N/A,VLOOKUP($F20,PAY!$A$11:$AE$349,12,FALSE))</f>
        <v>395.7</v>
      </c>
      <c r="N20" s="80">
        <f>IF(VLOOKUP($F20,PAY!$A$11:$AE$349,14,FALSE)="-",#N/A,VLOOKUP($F20,PAY!$A$11:$AE$349,14,FALSE))</f>
        <v>412.6</v>
      </c>
      <c r="O20" s="80">
        <f>IF(VLOOKUP($F20,PAY!$A$11:$AE$349,16,FALSE)="-",#N/A,VLOOKUP($F20,PAY!$A$11:$AE$349,16,FALSE))</f>
        <v>420.2</v>
      </c>
      <c r="P20" s="80">
        <f>IF(VLOOKUP($F20,PAY!$A$11:$AE$349,18,FALSE)="-",#N/A,VLOOKUP($F20,PAY!$A$11:$AE$349,18,FALSE))</f>
        <v>410.4</v>
      </c>
      <c r="Q20" s="80">
        <f>IF(VLOOKUP($F20,PAY!$A$11:$AE$349,20,FALSE)="-",#N/A,VLOOKUP($F20,PAY!$A$11:$AE$349,20,FALSE))</f>
        <v>461.1</v>
      </c>
      <c r="R20" s="80">
        <f>IF(VLOOKUP($F20,PAY!$A$11:$AE$349,22,FALSE)="-",#N/A,VLOOKUP($F20,PAY!$A$11:$AE$349,22,FALSE))</f>
        <v>454.4</v>
      </c>
      <c r="S20" s="80">
        <f>IF(VLOOKUP($F20,PAY!$A$11:$AE$349,24,FALSE)="-",#N/A,VLOOKUP($F20,PAY!$A$11:$AE$349,24,FALSE))</f>
        <v>468.2</v>
      </c>
      <c r="T20" s="80">
        <f>IF(VLOOKUP($F20,PAY!$A$11:$AE$349,26,FALSE)="-",#N/A,VLOOKUP($F20,PAY!$A$11:$AE$349,26,FALSE))</f>
        <v>491.5</v>
      </c>
      <c r="U20" s="80">
        <f>IF(VLOOKUP($F20,PAY!$A$11:$AE$349,28,FALSE)="-",#N/A,VLOOKUP($F20,PAY!$A$11:$AE$349,28,FALSE))</f>
        <v>455.1</v>
      </c>
      <c r="V20" s="80">
        <f>IF(VLOOKUP($F20,PAY!$A$11:$AE$349,30,FALSE)="-",#N/A,VLOOKUP($F20,PAY!$A$11:$AE$349,30,FALSE))</f>
        <v>502.4</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Ryedale to Rural as a Region</v>
      </c>
      <c r="G23" s="122"/>
      <c r="H23" s="123"/>
      <c r="I23" s="74">
        <f>100*((I20-I21)/I21)</f>
        <v>-9.0515225221011235</v>
      </c>
      <c r="J23" s="74">
        <f t="shared" ref="J23:V23" si="2">100*((J20-J21)/J21)</f>
        <v>-12.067288436230479</v>
      </c>
      <c r="K23" s="74">
        <f t="shared" si="2"/>
        <v>-5.5148315438308355</v>
      </c>
      <c r="L23" s="74">
        <f t="shared" si="2"/>
        <v>-11.439654397555145</v>
      </c>
      <c r="M23" s="74">
        <f t="shared" si="2"/>
        <v>-13.079395621201098</v>
      </c>
      <c r="N23" s="74">
        <f t="shared" si="2"/>
        <v>-10.918651238296169</v>
      </c>
      <c r="O23" s="74">
        <f t="shared" si="2"/>
        <v>-10.748143487823111</v>
      </c>
      <c r="P23" s="74">
        <f t="shared" si="2"/>
        <v>-13.567523039969723</v>
      </c>
      <c r="Q23" s="74">
        <f t="shared" si="2"/>
        <v>-5.7984282023631328</v>
      </c>
      <c r="R23" s="74">
        <f t="shared" si="2"/>
        <v>-9.8514584196581918</v>
      </c>
      <c r="S23" s="74">
        <f t="shared" si="2"/>
        <v>-8.9858686813851048</v>
      </c>
      <c r="T23" s="74">
        <f t="shared" si="2"/>
        <v>-7.9068584697539777</v>
      </c>
      <c r="U23" s="74">
        <f t="shared" si="2"/>
        <v>-14.301563173537183</v>
      </c>
      <c r="V23" s="74">
        <f t="shared" si="2"/>
        <v>-10.962118672477404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Ryedale</v>
      </c>
      <c r="G28" s="88"/>
      <c r="H28" s="89"/>
      <c r="I28" s="76">
        <f>VLOOKUP($F28,EMPLOYMENT!$A$6:$BW$345,6,FALSE)</f>
        <v>79.2</v>
      </c>
      <c r="J28" s="77">
        <f>VLOOKUP($F28,EMPLOYMENT!$A$6:$BW$345,10,FALSE)</f>
        <v>80.7</v>
      </c>
      <c r="K28" s="77">
        <f>VLOOKUP($F28,EMPLOYMENT!$A$6:$BW$345,14,FALSE)</f>
        <v>73.099999999999994</v>
      </c>
      <c r="L28" s="77">
        <f>VLOOKUP($F28,EMPLOYMENT!$A$6:$BW$345,18,FALSE)</f>
        <v>71.5</v>
      </c>
      <c r="M28" s="77">
        <f>VLOOKUP($F28,EMPLOYMENT!$A$6:$BW$345,22,FALSE)</f>
        <v>76.2</v>
      </c>
      <c r="N28" s="77">
        <f>VLOOKUP($F28,EMPLOYMENT!$A$6:$BW$345,26,FALSE)</f>
        <v>83.2</v>
      </c>
      <c r="O28" s="77">
        <f>VLOOKUP($F28,EMPLOYMENT!$A$6:$BW$345,30,FALSE)</f>
        <v>75.2</v>
      </c>
      <c r="P28" s="77">
        <f>VLOOKUP($F28,EMPLOYMENT!$A$6:$BW$345,34,FALSE)</f>
        <v>76.7</v>
      </c>
      <c r="Q28" s="77">
        <f>VLOOKUP($F28,EMPLOYMENT!$A$6:$BW$345,38,FALSE)</f>
        <v>74.7</v>
      </c>
      <c r="R28" s="77">
        <f>VLOOKUP($F28,EMPLOYMENT!$A$6:$BW$345,42,FALSE)</f>
        <v>80.900000000000006</v>
      </c>
      <c r="S28" s="77">
        <f>VLOOKUP($F28,EMPLOYMENT!$A$6:$BW$345,46,FALSE)</f>
        <v>84.2</v>
      </c>
      <c r="T28" s="77">
        <f>VLOOKUP($F28,EMPLOYMENT!$A$6:$BW$345,50,FALSE)</f>
        <v>79.099999999999994</v>
      </c>
      <c r="U28" s="77">
        <f>VLOOKUP($F28,EMPLOYMENT!$A$6:$BW$345,54,FALSE)</f>
        <v>77</v>
      </c>
      <c r="V28" s="77">
        <f>VLOOKUP($F28,EMPLOYMENT!$A$6:$BW$345,58,FALSE)</f>
        <v>83.5</v>
      </c>
      <c r="W28" s="77">
        <f>VLOOKUP($F28,EMPLOYMENT!$A$6:$BW$345,62,FALSE)</f>
        <v>81.3</v>
      </c>
      <c r="X28" s="77">
        <f>VLOOKUP($F28,EMPLOYMENT!$A$6:$BW$345,66,FALSE)</f>
        <v>79.099999999999994</v>
      </c>
      <c r="Y28" s="77">
        <f>VLOOKUP($F28,EMPLOYMENT!$A$6:$BW$345,70,FALSE)</f>
        <v>70.7</v>
      </c>
      <c r="Z28" s="77">
        <f>VLOOKUP($F28,EMPLOYMENT!$A$6:$BW$345,74,FALSE)</f>
        <v>76.599999999999994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England"</f>
        <v>% Gap - Ryedale to England</v>
      </c>
      <c r="G31" s="122"/>
      <c r="H31" s="123"/>
      <c r="I31" s="74">
        <f>(I28-I29)</f>
        <v>3.0886580805982646</v>
      </c>
      <c r="J31" s="74">
        <f t="shared" ref="J31:Z31" si="4">(J28-J29)</f>
        <v>4.3870245333170459</v>
      </c>
      <c r="K31" s="74">
        <f t="shared" si="4"/>
        <v>-2.7731888994867688</v>
      </c>
      <c r="L31" s="74">
        <f t="shared" si="4"/>
        <v>-4.1404683026278377</v>
      </c>
      <c r="M31" s="74">
        <f t="shared" si="4"/>
        <v>0.46447562666826059</v>
      </c>
      <c r="N31" s="74">
        <f t="shared" si="4"/>
        <v>8.6904601571268216</v>
      </c>
      <c r="O31" s="74">
        <f t="shared" si="4"/>
        <v>1.6528668610301338</v>
      </c>
      <c r="P31" s="74">
        <f t="shared" si="4"/>
        <v>2.9657045967223894</v>
      </c>
      <c r="Q31" s="74">
        <f t="shared" si="4"/>
        <v>0.66684252453742943</v>
      </c>
      <c r="R31" s="74">
        <f t="shared" si="4"/>
        <v>6.1555250700997988</v>
      </c>
      <c r="S31" s="74">
        <f t="shared" si="4"/>
        <v>8.0911396599243943</v>
      </c>
      <c r="T31" s="74">
        <f t="shared" si="4"/>
        <v>1.909468024390975</v>
      </c>
      <c r="U31" s="74">
        <f t="shared" si="4"/>
        <v>2.8367518291958049E-2</v>
      </c>
      <c r="V31" s="74">
        <f t="shared" si="4"/>
        <v>5.4672131147541023</v>
      </c>
      <c r="W31" s="74">
        <f t="shared" si="4"/>
        <v>3.2518431065858522</v>
      </c>
      <c r="X31" s="74">
        <f t="shared" si="4"/>
        <v>0.50870062104328895</v>
      </c>
      <c r="Y31" s="74">
        <f t="shared" si="4"/>
        <v>-6.3143462961292016</v>
      </c>
      <c r="Z31" s="74">
        <f t="shared" si="4"/>
        <v>0.44424192212095193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Ryedale</v>
      </c>
      <c r="G36" s="88" t="str">
        <f>IFERROR(VLOOKUP(F36,GDHI!B338:C574,2,FALSE),VLOOKUP(F36,GDHI!C3:C336,1,FALSE))</f>
        <v>Ryedale</v>
      </c>
      <c r="H36" s="89" t="str">
        <f>IF(F36=G36,"",G36)</f>
        <v/>
      </c>
      <c r="I36" s="83">
        <f>IFERROR(VLOOKUP($F36,GDHI!$B$338:$U$574,GDHI!G$578,FALSE),VLOOKUP($F36,GDHI!$C$3:$U$336,GDHI!F$578,FALSE))</f>
        <v>14482</v>
      </c>
      <c r="J36" s="84">
        <f>IFERROR(VLOOKUP($F36,GDHI!$B$338:$U$574,GDHI!H$578,FALSE),VLOOKUP($F36,GDHI!$C$3:$U$336,GDHI!G$578,FALSE))</f>
        <v>15322</v>
      </c>
      <c r="K36" s="84">
        <f>IFERROR(VLOOKUP($F36,GDHI!$B$338:$U$574,GDHI!I$578,FALSE),VLOOKUP($F36,GDHI!$C$3:$U$336,GDHI!H$578,FALSE))</f>
        <v>16282</v>
      </c>
      <c r="L36" s="84">
        <f>IFERROR(VLOOKUP($F36,GDHI!$B$338:$U$574,GDHI!J$578,FALSE),VLOOKUP($F36,GDHI!$C$3:$U$336,GDHI!I$578,FALSE))</f>
        <v>16839</v>
      </c>
      <c r="M36" s="84">
        <f>IFERROR(VLOOKUP($F36,GDHI!$B$338:$U$574,GDHI!K$578,FALSE),VLOOKUP($F36,GDHI!$C$3:$U$336,GDHI!J$578,FALSE))</f>
        <v>17292</v>
      </c>
      <c r="N36" s="84">
        <f>IFERROR(VLOOKUP($F36,GDHI!$B$338:$U$574,GDHI!L$578,FALSE),VLOOKUP($F36,GDHI!$C$3:$U$336,GDHI!K$578,FALSE))</f>
        <v>17794</v>
      </c>
      <c r="O36" s="84">
        <f>IFERROR(VLOOKUP($F36,GDHI!$B$338:$U$574,GDHI!M$578,FALSE),VLOOKUP($F36,GDHI!$C$3:$U$336,GDHI!L$578,FALSE))</f>
        <v>17887</v>
      </c>
      <c r="P36" s="84">
        <f>IFERROR(VLOOKUP($F36,GDHI!$B$338:$U$574,GDHI!N$578,FALSE),VLOOKUP($F36,GDHI!$C$3:$U$336,GDHI!M$578,FALSE))</f>
        <v>18386</v>
      </c>
      <c r="Q36" s="84">
        <f>IFERROR(VLOOKUP($F36,GDHI!$B$338:$U$574,GDHI!O$578,FALSE),VLOOKUP($F36,GDHI!$C$3:$U$336,GDHI!N$578,FALSE))</f>
        <v>18967</v>
      </c>
      <c r="R36" s="84">
        <f>IFERROR(VLOOKUP($F36,GDHI!$B$338:$U$574,GDHI!P$578,FALSE),VLOOKUP($F36,GDHI!$C$3:$U$336,GDHI!O$578,FALSE))</f>
        <v>19379</v>
      </c>
      <c r="S36" s="84">
        <f>IFERROR(VLOOKUP($F36,GDHI!$B$338:$U$574,GDHI!Q$578,FALSE),VLOOKUP($F36,GDHI!$C$3:$U$336,GDHI!P$578,FALSE))</f>
        <v>19462</v>
      </c>
      <c r="T36" s="84">
        <f>IFERROR(VLOOKUP($F36,GDHI!$B$338:$U$574,GDHI!R$578,FALSE),VLOOKUP($F36,GDHI!$C$3:$U$336,GDHI!Q$578,FALSE))</f>
        <v>20684</v>
      </c>
      <c r="U36" s="84">
        <f>IFERROR(VLOOKUP($F36,GDHI!$B$338:$U$574,GDHI!S$578,FALSE),VLOOKUP($F36,GDHI!$C$3:$U$336,GDHI!R$578,FALSE))</f>
        <v>20716</v>
      </c>
      <c r="V36" s="84">
        <f>IFERROR(VLOOKUP($F36,GDHI!$B$338:$U$574,GDHI!T$578,FALSE),VLOOKUP($F36,GDHI!$C$3:$U$336,GDHI!S$578,FALSE))</f>
        <v>21034</v>
      </c>
      <c r="W36" s="84">
        <f>IFERROR(VLOOKUP($F36,GDHI!$B$338:$U$574,GDHI!U$578,FALSE),VLOOKUP($F36,GDHI!$C$3:$U$336,GDHI!T$578,FALSE))</f>
        <v>21852</v>
      </c>
      <c r="X36" s="84">
        <f>IFERROR(VLOOKUP($F36,GDHI!$B$338:$U$574,GDHI!V$578,FALSE),VLOOKUP($F36,GDHI!$C$3:$U$336,GDHI!U$578,FALSE))</f>
        <v>22044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Ryedale to Rural as a Region</v>
      </c>
      <c r="G39" s="122"/>
      <c r="H39" s="123"/>
      <c r="I39" s="74">
        <f>100*((I36-I37)/I37)</f>
        <v>-1.5466195315952276</v>
      </c>
      <c r="J39" s="74">
        <f t="shared" ref="J39:X39" si="6">100*((J36-J37)/J37)</f>
        <v>-0.12671871471683624</v>
      </c>
      <c r="K39" s="74">
        <f t="shared" si="6"/>
        <v>2.2470322532895897</v>
      </c>
      <c r="L39" s="74">
        <f t="shared" si="6"/>
        <v>1.6345878178694464</v>
      </c>
      <c r="M39" s="74">
        <f t="shared" si="6"/>
        <v>1.3398933806267079</v>
      </c>
      <c r="N39" s="74">
        <f t="shared" si="6"/>
        <v>2.8976218586608127</v>
      </c>
      <c r="O39" s="74">
        <f t="shared" si="6"/>
        <v>2.1652109759870464</v>
      </c>
      <c r="P39" s="74">
        <f t="shared" si="6"/>
        <v>3.2918585022512019</v>
      </c>
      <c r="Q39" s="74">
        <f t="shared" si="6"/>
        <v>3.2703429018119392</v>
      </c>
      <c r="R39" s="74">
        <f t="shared" si="6"/>
        <v>2.6759622583670684</v>
      </c>
      <c r="S39" s="74">
        <f t="shared" si="6"/>
        <v>0.3400915871984177</v>
      </c>
      <c r="T39" s="74">
        <f t="shared" si="6"/>
        <v>1.1029373256475774</v>
      </c>
      <c r="U39" s="74">
        <f t="shared" si="6"/>
        <v>0.44167592115864795</v>
      </c>
      <c r="V39" s="74">
        <f t="shared" si="6"/>
        <v>0.32678421055918916</v>
      </c>
      <c r="W39" s="74">
        <f t="shared" si="6"/>
        <v>4.6328645601114417E-2</v>
      </c>
      <c r="X39" s="74">
        <f t="shared" si="6"/>
        <v>-0.99317157780878518</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Ryedale</v>
      </c>
      <c r="G44" s="88"/>
      <c r="H44" s="89"/>
      <c r="I44" s="76">
        <f>VLOOKUP($F44,'LOW PAID'!$A$9:$N$444,6,FALSE)</f>
        <v>29.1</v>
      </c>
      <c r="J44" s="77">
        <f>VLOOKUP($F44,'LOW PAID'!$P$9:$W$444,6,FALSE)</f>
        <v>29.9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Ryedale to Rural as a Region</v>
      </c>
      <c r="G47" s="122"/>
      <c r="H47" s="123"/>
      <c r="I47" s="74">
        <f>(I44-I45)</f>
        <v>3.9061253217868845</v>
      </c>
      <c r="J47" s="74">
        <f>(J44-J45)</f>
        <v>4.2138834909699447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Ryedale</v>
      </c>
      <c r="G52" s="88"/>
      <c r="H52" s="89"/>
      <c r="I52" s="76">
        <f>VLOOKUP($F52,INACTIVITY!$A$6:$BW$345,6,FALSE)</f>
        <v>19.399999999999999</v>
      </c>
      <c r="J52" s="77">
        <f>VLOOKUP($F52,INACTIVITY!$A$6:$BW$345,10,FALSE)</f>
        <v>17.600000000000001</v>
      </c>
      <c r="K52" s="77">
        <f>VLOOKUP($F52,INACTIVITY!$A$6:$BW$345,14,FALSE)</f>
        <v>23.3</v>
      </c>
      <c r="L52" s="77">
        <f>VLOOKUP($F52,INACTIVITY!$A$6:$BW$345,18,FALSE)</f>
        <v>25.7</v>
      </c>
      <c r="M52" s="77">
        <f>VLOOKUP($F52,INACTIVITY!$A$6:$BW$345,22,FALSE)</f>
        <v>22.3</v>
      </c>
      <c r="N52" s="77">
        <f>VLOOKUP($F52,INACTIVITY!$A$6:$BW$345,26,FALSE)</f>
        <v>15.7</v>
      </c>
      <c r="O52" s="77">
        <f>VLOOKUP($F52,INACTIVITY!$A$6:$BW$345,30,FALSE)</f>
        <v>20.6</v>
      </c>
      <c r="P52" s="77">
        <f>VLOOKUP($F52,INACTIVITY!$A$6:$BW$345,34,FALSE)</f>
        <v>20.2</v>
      </c>
      <c r="Q52" s="77">
        <f>VLOOKUP($F52,INACTIVITY!$A$6:$BW$345,38,FALSE)</f>
        <v>20.399999999999999</v>
      </c>
      <c r="R52" s="77">
        <f>VLOOKUP($F52,INACTIVITY!$A$6:$BW$345,42,FALSE)</f>
        <v>17.100000000000001</v>
      </c>
      <c r="S52" s="77">
        <f>VLOOKUP($F52,INACTIVITY!$A$6:$BW$345,46,FALSE)</f>
        <v>14.7</v>
      </c>
      <c r="T52" s="77">
        <f>VLOOKUP($F52,INACTIVITY!$A$6:$BW$345,50,FALSE)</f>
        <v>18.8</v>
      </c>
      <c r="U52" s="77">
        <f>VLOOKUP($F52,INACTIVITY!$A$6:$BW$345,54,FALSE)</f>
        <v>20.100000000000001</v>
      </c>
      <c r="V52" s="77">
        <f>VLOOKUP($F52,INACTIVITY!$A$6:$BW$345,58,FALSE)</f>
        <v>12.5</v>
      </c>
      <c r="W52" s="77">
        <f>VLOOKUP($F52,INACTIVITY!$A$6:$BW$345,62,FALSE)</f>
        <v>14.8</v>
      </c>
      <c r="X52" s="77">
        <f>VLOOKUP($F52,INACTIVITY!$A$6:$BW$345,66,FALSE)</f>
        <v>18.899999999999999</v>
      </c>
      <c r="Y52" s="77">
        <f>VLOOKUP($F52,INACTIVITY!$A$6:$BW$345,70,FALSE)</f>
        <v>29.3</v>
      </c>
      <c r="Z52" s="77">
        <f>VLOOKUP($F52,INACTIVITY!$A$6:$BW$345,74,FALSE)</f>
        <v>20.2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Ryedale to Rural as a Region</v>
      </c>
      <c r="G55" s="122"/>
      <c r="H55" s="123"/>
      <c r="I55" s="74">
        <f>(I52-I53)</f>
        <v>-1.9956445716102387</v>
      </c>
      <c r="J55" s="74">
        <f t="shared" ref="J55:Z55" si="10">(J52-J53)</f>
        <v>-3.4085227272727252</v>
      </c>
      <c r="K55" s="74">
        <f t="shared" si="10"/>
        <v>2.4375346065412238</v>
      </c>
      <c r="L55" s="74">
        <f t="shared" si="10"/>
        <v>4.38593466846336</v>
      </c>
      <c r="M55" s="74">
        <f t="shared" si="10"/>
        <v>1.4649976891079959</v>
      </c>
      <c r="N55" s="74">
        <f t="shared" si="10"/>
        <v>-5.2331437579204412</v>
      </c>
      <c r="O55" s="74">
        <f t="shared" si="10"/>
        <v>-1.0919371275051724</v>
      </c>
      <c r="P55" s="74">
        <f t="shared" si="10"/>
        <v>-1.2942457807534495</v>
      </c>
      <c r="Q55" s="74">
        <f t="shared" si="10"/>
        <v>-0.7825487944890952</v>
      </c>
      <c r="R55" s="74">
        <f t="shared" si="10"/>
        <v>-3.6745930974387697</v>
      </c>
      <c r="S55" s="74">
        <f t="shared" si="10"/>
        <v>-5.5732104559724007</v>
      </c>
      <c r="T55" s="74">
        <f t="shared" si="10"/>
        <v>-0.89619468340695718</v>
      </c>
      <c r="U55" s="74">
        <f t="shared" si="10"/>
        <v>0.2475706529305306</v>
      </c>
      <c r="V55" s="74">
        <f t="shared" si="10"/>
        <v>-6.7532773342803765</v>
      </c>
      <c r="W55" s="74">
        <f t="shared" si="10"/>
        <v>-4.3769560091828481</v>
      </c>
      <c r="X55" s="74">
        <f t="shared" si="10"/>
        <v>4.7935050635068421E-2</v>
      </c>
      <c r="Y55" s="74">
        <f t="shared" si="10"/>
        <v>9.5274172781285387</v>
      </c>
      <c r="Z55" s="74">
        <f t="shared" si="10"/>
        <v>-0.88517977563007122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Ryedale</v>
      </c>
      <c r="G60" s="88"/>
      <c r="H60" s="89"/>
      <c r="I60" s="76">
        <f>VLOOKUP($F60,DISABILITY!$A$718:$I$1052,DISABILITY!B$1053,FALSE)</f>
        <v>39.899999999999991</v>
      </c>
      <c r="J60" s="77">
        <f>VLOOKUP($F60,DISABILITY!$A$718:$I$1052,DISABILITY!C$1053,FALSE)</f>
        <v>4.0999999999999943</v>
      </c>
      <c r="K60" s="77">
        <f>VLOOKUP($F60,DISABILITY!$A$718:$I$1052,DISABILITY!D$1053,FALSE)</f>
        <v>19.299999999999997</v>
      </c>
      <c r="L60" s="77">
        <f>VLOOKUP($F60,DISABILITY!$A$718:$I$1052,DISABILITY!E$1053,FALSE)</f>
        <v>24.5</v>
      </c>
      <c r="M60" s="77">
        <f>VLOOKUP($F60,DISABILITY!$A$718:$I$1052,DISABILITY!F$1053,FALSE)</f>
        <v>19.700000000000003</v>
      </c>
      <c r="N60" s="77">
        <f>VLOOKUP($F60,DISABILITY!$A$718:$I$1052,DISABILITY!G$1053,FALSE)</f>
        <v>6.5999999999999943</v>
      </c>
      <c r="O60" s="77">
        <f>VLOOKUP($F60,DISABILITY!$A$718:$I$1052,DISABILITY!H$1053,FALSE)</f>
        <v>19.699999999999996</v>
      </c>
      <c r="P60" s="77">
        <f>VLOOKUP($F60,DISABILITY!$A$718:$I$1052,DISABILITY!I$1053,FALSE)</f>
        <v>-8.8999999999999915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Ryedale to Rural as a Region</v>
      </c>
      <c r="G63" s="122"/>
      <c r="H63" s="123"/>
      <c r="I63" s="74">
        <f>(I60-I61)</f>
        <v>12.479843459352743</v>
      </c>
      <c r="J63" s="74">
        <f t="shared" ref="J63:P63" si="12">(J60-J61)</f>
        <v>-23.219044407051193</v>
      </c>
      <c r="K63" s="74">
        <f t="shared" si="12"/>
        <v>-8.8191283614982083</v>
      </c>
      <c r="L63" s="74">
        <f t="shared" si="12"/>
        <v>-1.4909345389966759</v>
      </c>
      <c r="M63" s="74">
        <f t="shared" si="12"/>
        <v>-5.7752258186661152</v>
      </c>
      <c r="N63" s="74">
        <f t="shared" si="12"/>
        <v>-18.931247685441988</v>
      </c>
      <c r="O63" s="74">
        <f t="shared" si="12"/>
        <v>-4.0972222879969493</v>
      </c>
      <c r="P63" s="74">
        <f t="shared" si="12"/>
        <v>-34.254177930342166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Ryedale</v>
      </c>
      <c r="G68" s="88"/>
      <c r="H68" s="89"/>
      <c r="I68" s="76">
        <f>VLOOKUP($F68,'WORKLESS HOUSEHOLDS'!$DW$4:$EC$397,7,FALSE)</f>
        <v>14.55119098747894</v>
      </c>
      <c r="J68" s="77">
        <f>VLOOKUP($F68,'WORKLESS HOUSEHOLDS'!$DN$4:$DT$397,7,FALSE)</f>
        <v>14.135026239503976</v>
      </c>
      <c r="K68" s="77">
        <f>VLOOKUP($F68,'WORKLESS HOUSEHOLDS'!$DE$4:$DK$397,7,FALSE)</f>
        <v>6.6060095211552277</v>
      </c>
      <c r="L68" s="77" t="str">
        <f>VLOOKUP($F68,'WORKLESS HOUSEHOLDS'!$CV$4:$DB$397,7,FALSE)</f>
        <v>*</v>
      </c>
      <c r="M68" s="77" t="str">
        <f>VLOOKUP($F68,'WORKLESS HOUSEHOLDS'!$CM$4:$CS$397,7,FALSE)</f>
        <v>*</v>
      </c>
      <c r="N68" s="77" t="str">
        <f>VLOOKUP($F68,'WORKLESS HOUSEHOLDS'!$CD$4:$CJ$397,7,FALSE)</f>
        <v>*</v>
      </c>
      <c r="O68" s="77" t="str">
        <f>VLOOKUP($F68,'WORKLESS HOUSEHOLDS'!$BU$4:$CA$397,7,FALSE)</f>
        <v>#</v>
      </c>
      <c r="P68" s="77" t="str">
        <f>VLOOKUP($F68,'WORKLESS HOUSEHOLDS'!$BL$4:$BR$397,7,FALSE)</f>
        <v>#</v>
      </c>
      <c r="Q68" s="77" t="str">
        <f>VLOOKUP($F68,'WORKLESS HOUSEHOLDS'!$BC$4:$BI$397,7,FALSE)</f>
        <v>#</v>
      </c>
      <c r="R68" s="77">
        <f>VLOOKUP($F68,'WORKLESS HOUSEHOLDS'!$AT$4:$AZ$397,7,FALSE)</f>
        <v>11.45104895104895</v>
      </c>
      <c r="S68" s="77" t="str">
        <f>VLOOKUP($F68,'WORKLESS HOUSEHOLDS'!$AK$4:$AQ$397,7,FALSE)</f>
        <v>#</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Ryedale to Rural as a Region</v>
      </c>
      <c r="G71" s="122"/>
      <c r="H71" s="123"/>
      <c r="I71" s="74">
        <f>(I68-I69)</f>
        <v>4.5392451248922487</v>
      </c>
      <c r="J71" s="74">
        <f t="shared" ref="J71:W71" si="14">(J68-J69)</f>
        <v>3.2238714020289514</v>
      </c>
      <c r="K71" s="74">
        <f t="shared" si="14"/>
        <v>-3.6872362080006162</v>
      </c>
      <c r="L71" s="74" t="e">
        <f t="shared" si="14"/>
        <v>#VALUE!</v>
      </c>
      <c r="M71" s="74" t="e">
        <f t="shared" si="14"/>
        <v>#VALUE!</v>
      </c>
      <c r="N71" s="74" t="e">
        <f t="shared" si="14"/>
        <v>#VALUE!</v>
      </c>
      <c r="O71" s="74" t="e">
        <f t="shared" si="14"/>
        <v>#VALUE!</v>
      </c>
      <c r="P71" s="74" t="e">
        <f t="shared" si="14"/>
        <v>#VALUE!</v>
      </c>
      <c r="Q71" s="74" t="e">
        <f t="shared" si="14"/>
        <v>#VALUE!</v>
      </c>
      <c r="R71" s="74">
        <f t="shared" si="14"/>
        <v>0.74495262731939604</v>
      </c>
      <c r="S71" s="74" t="e">
        <f t="shared" si="14"/>
        <v>#VALUE!</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Ryedale</v>
      </c>
      <c r="G76" s="88"/>
      <c r="H76" s="89"/>
      <c r="I76" s="76">
        <f>VLOOKUP($F76,'SKILLED EMPLOYMENT'!$A$1506:$BW$1841,6,FALSE)</f>
        <v>52.599999999999994</v>
      </c>
      <c r="J76" s="77">
        <f>VLOOKUP($F76,'SKILLED EMPLOYMENT'!$A$1506:$BW$1841,10,FALSE)</f>
        <v>50</v>
      </c>
      <c r="K76" s="77">
        <f>VLOOKUP($F76,'SKILLED EMPLOYMENT'!$A$1506:$BW$1841,14,FALSE)</f>
        <v>42.8</v>
      </c>
      <c r="L76" s="77">
        <f>VLOOKUP($F76,'SKILLED EMPLOYMENT'!$A$1506:$BW$1841,18,FALSE)</f>
        <v>49.099999999999994</v>
      </c>
      <c r="M76" s="77">
        <f>VLOOKUP($F76,'SKILLED EMPLOYMENT'!$A$1506:$BW$1841,22,FALSE)</f>
        <v>49.599999999999994</v>
      </c>
      <c r="N76" s="77">
        <f>VLOOKUP($F76,'SKILLED EMPLOYMENT'!$A$1506:$BW$1841,26,FALSE)</f>
        <v>62.599999999999994</v>
      </c>
      <c r="O76" s="77">
        <f>VLOOKUP($F76,'SKILLED EMPLOYMENT'!$A$1506:$BW$1841,30,FALSE)</f>
        <v>62.800000000000004</v>
      </c>
      <c r="P76" s="77">
        <f>VLOOKUP($F76,'SKILLED EMPLOYMENT'!$A$1506:$BW$1841,34,FALSE)</f>
        <v>61.9</v>
      </c>
      <c r="Q76" s="77">
        <f>VLOOKUP($F76,'SKILLED EMPLOYMENT'!$A$1506:$BW$1841,38,FALSE)</f>
        <v>54.5</v>
      </c>
      <c r="R76" s="77">
        <f>VLOOKUP($F76,'SKILLED EMPLOYMENT'!$A$1506:$BW$1841,42,FALSE)</f>
        <v>56.1</v>
      </c>
      <c r="S76" s="77">
        <f>VLOOKUP($F76,'SKILLED EMPLOYMENT'!$A$1506:$BW$1841,46,FALSE)</f>
        <v>64.300000000000011</v>
      </c>
      <c r="T76" s="77">
        <f>VLOOKUP($F76,'SKILLED EMPLOYMENT'!$A$1506:$BW$1841,50,FALSE)</f>
        <v>56.6</v>
      </c>
      <c r="U76" s="77">
        <f>VLOOKUP($F76,'SKILLED EMPLOYMENT'!$A$1506:$BW$1841,54,FALSE)</f>
        <v>53.3</v>
      </c>
      <c r="V76" s="77">
        <f>VLOOKUP($F76,'SKILLED EMPLOYMENT'!$A$1506:$BW$1841,58,FALSE)</f>
        <v>69.300000000000011</v>
      </c>
      <c r="W76" s="77">
        <f>VLOOKUP($F76,'SKILLED EMPLOYMENT'!$A$1506:$BW$1841,62,FALSE)</f>
        <v>56</v>
      </c>
      <c r="X76" s="77">
        <f>VLOOKUP($F76,'SKILLED EMPLOYMENT'!$A$1506:$BW$1841,66,FALSE)</f>
        <v>72.900000000000006</v>
      </c>
      <c r="Y76" s="77">
        <f>VLOOKUP($F76,'SKILLED EMPLOYMENT'!$A$1506:$BW$1841,70,FALSE)</f>
        <v>65.2</v>
      </c>
      <c r="Z76" s="77">
        <f>VLOOKUP($F76,'SKILLED EMPLOYMENT'!$A$1506:$BW$1841,74,FALSE)</f>
        <v>58.8</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Ryedale to Rural as a Region</v>
      </c>
      <c r="G79" s="122"/>
      <c r="H79" s="123"/>
      <c r="I79" s="74">
        <f>(I76-I77)</f>
        <v>-0.10000000000000853</v>
      </c>
      <c r="J79" s="74">
        <f t="shared" ref="J79:Z79" si="17">(J76-J77)</f>
        <v>-2.8999999999999986</v>
      </c>
      <c r="K79" s="74">
        <f t="shared" si="17"/>
        <v>-10.700000000000003</v>
      </c>
      <c r="L79" s="74">
        <f t="shared" si="17"/>
        <v>-4.9000000000000057</v>
      </c>
      <c r="M79" s="74">
        <f t="shared" si="17"/>
        <v>-4.5000000000000071</v>
      </c>
      <c r="N79" s="74">
        <f t="shared" si="17"/>
        <v>8.1999999999999957</v>
      </c>
      <c r="O79" s="74">
        <f t="shared" si="17"/>
        <v>7.4000000000000057</v>
      </c>
      <c r="P79" s="74">
        <f t="shared" si="17"/>
        <v>6.2999999999999972</v>
      </c>
      <c r="Q79" s="74">
        <f t="shared" si="17"/>
        <v>-0.89999999999999858</v>
      </c>
      <c r="R79" s="74">
        <f t="shared" si="17"/>
        <v>-0.10000000000000142</v>
      </c>
      <c r="S79" s="74">
        <f t="shared" si="17"/>
        <v>8.1000000000000085</v>
      </c>
      <c r="T79" s="74">
        <f t="shared" si="17"/>
        <v>-0.19999999999999574</v>
      </c>
      <c r="U79" s="74">
        <f t="shared" si="17"/>
        <v>-3.3000000000000043</v>
      </c>
      <c r="V79" s="74">
        <f t="shared" si="17"/>
        <v>12.20000000000001</v>
      </c>
      <c r="W79" s="74">
        <f t="shared" si="17"/>
        <v>-1.7999999999999972</v>
      </c>
      <c r="X79" s="74">
        <f t="shared" si="17"/>
        <v>14.100000000000009</v>
      </c>
      <c r="Y79" s="74">
        <f t="shared" si="17"/>
        <v>6.5</v>
      </c>
      <c r="Z79" s="74">
        <f t="shared" si="17"/>
        <v>0.39999999999999858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UmfYOSWVoUunkXQDQtjMlVUGXlGqth0tsRWNDfE5HNU4XFJCchHhpL0E3anKRdjxUxa6UFYeIPGkiZbx5IjXg==" saltValue="eTxso/V4ub8M3t7y9VPf2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2022-06-29T15:16:23Z</cp:lastPrinted>
  <dcterms:created xsi:type="dcterms:W3CDTF">2022-05-30T09:14:22Z</dcterms:created>
  <dcterms:modified xsi:type="dcterms:W3CDTF">2022-08-02T13:09:27Z</dcterms:modified>
</cp:coreProperties>
</file>