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FFE2B195-FA38-4C15-A97C-DF57F06CD4AB}" xr6:coauthVersionLast="47" xr6:coauthVersionMax="47" xr10:uidLastSave="{45D1BD53-6FF7-447F-ABAC-C22D9ECB680A}"/>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<sst xmlns="http://schemas.openxmlformats.org/spreadsheetml/2006/main" count="32859" uniqueCount="1676">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</sst>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Scarborough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21.42</c:v>
                </c:pt>
                <c:pt idx="1">
                  <c:v>21.39</c:v>
                </c:pt>
                <c:pt idx="2">
                  <c:v>22.1</c:v>
                </c:pt>
                <c:pt idx="3">
                  <c:v>22.51</c:v>
                </c:pt>
                <c:pt idx="4">
                  <c:v>23.11</c:v>
                </c:pt>
                <c:pt idx="5">
                  <c:v>23.35</c:v>
                </c:pt>
                <c:pt idx="6">
                  <c:v>23.7</c:v>
                </c:pt>
                <c:pt idx="7">
                  <c:v>23.65</c:v>
                </c:pt>
                <c:pt idx="8">
                  <c:v>23.72</c:v>
                </c:pt>
                <c:pt idx="9">
                  <c:v>23.49</c:v>
                </c:pt>
                <c:pt idx="10">
                  <c:v>23.13</c:v>
                </c:pt>
                <c:pt idx="11">
                  <c:v>22.7</c:v>
                </c:pt>
                <c:pt idx="12">
                  <c:v>22.82</c:v>
                </c:pt>
                <c:pt idx="13">
                  <c:v>23.77</c:v>
                </c:pt>
                <c:pt idx="14">
                  <c:v>24.62</c:v>
                </c:pt>
                <c:pt idx="15">
                  <c:v>25.15</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Scarborough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411.5</c:v>
                </c:pt>
                <c:pt idx="1">
                  <c:v>403.1</c:v>
                </c:pt>
                <c:pt idx="2">
                  <c:v>425.3</c:v>
                </c:pt>
                <c:pt idx="3">
                  <c:v>456.1</c:v>
                </c:pt>
                <c:pt idx="4">
                  <c:v>432.2</c:v>
                </c:pt>
                <c:pt idx="5">
                  <c:v>440.6</c:v>
                </c:pt>
                <c:pt idx="6">
                  <c:v>445.9</c:v>
                </c:pt>
                <c:pt idx="7">
                  <c:v>445.2</c:v>
                </c:pt>
                <c:pt idx="8">
                  <c:v>460</c:v>
                </c:pt>
                <c:pt idx="9">
                  <c:v>464.2</c:v>
                </c:pt>
                <c:pt idx="10">
                  <c:v>467.5</c:v>
                </c:pt>
                <c:pt idx="11">
                  <c:v>479.7</c:v>
                </c:pt>
                <c:pt idx="12">
                  <c:v>516.4</c:v>
                </c:pt>
                <c:pt idx="13">
                  <c:v>503.1</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Scarborough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69.599999999999994</c:v>
                </c:pt>
                <c:pt idx="1">
                  <c:v>73.8</c:v>
                </c:pt>
                <c:pt idx="2">
                  <c:v>69.7</c:v>
                </c:pt>
                <c:pt idx="3">
                  <c:v>63.1</c:v>
                </c:pt>
                <c:pt idx="4">
                  <c:v>74.2</c:v>
                </c:pt>
                <c:pt idx="5">
                  <c:v>68</c:v>
                </c:pt>
                <c:pt idx="6">
                  <c:v>66.2</c:v>
                </c:pt>
                <c:pt idx="7">
                  <c:v>76.099999999999994</c:v>
                </c:pt>
                <c:pt idx="8">
                  <c:v>66.599999999999994</c:v>
                </c:pt>
                <c:pt idx="9">
                  <c:v>69</c:v>
                </c:pt>
                <c:pt idx="10">
                  <c:v>65.2</c:v>
                </c:pt>
                <c:pt idx="11">
                  <c:v>79.7</c:v>
                </c:pt>
                <c:pt idx="12">
                  <c:v>80.7</c:v>
                </c:pt>
                <c:pt idx="13">
                  <c:v>75.8</c:v>
                </c:pt>
                <c:pt idx="14">
                  <c:v>76</c:v>
                </c:pt>
                <c:pt idx="15">
                  <c:v>80</c:v>
                </c:pt>
                <c:pt idx="16">
                  <c:v>70.900000000000006</c:v>
                </c:pt>
                <c:pt idx="17">
                  <c:v>78.2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Scarborough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11495</c:v>
                </c:pt>
                <c:pt idx="1">
                  <c:v>12159</c:v>
                </c:pt>
                <c:pt idx="2">
                  <c:v>12931</c:v>
                </c:pt>
                <c:pt idx="3">
                  <c:v>13313</c:v>
                </c:pt>
                <c:pt idx="4">
                  <c:v>13683</c:v>
                </c:pt>
                <c:pt idx="5">
                  <c:v>14596</c:v>
                </c:pt>
                <c:pt idx="6">
                  <c:v>14530</c:v>
                </c:pt>
                <c:pt idx="7">
                  <c:v>15048</c:v>
                </c:pt>
                <c:pt idx="8">
                  <c:v>15661</c:v>
                </c:pt>
                <c:pt idx="9">
                  <c:v>15970</c:v>
                </c:pt>
                <c:pt idx="10">
                  <c:v>16114</c:v>
                </c:pt>
                <c:pt idx="11">
                  <c:v>17111</c:v>
                </c:pt>
                <c:pt idx="12">
                  <c:v>17183</c:v>
                </c:pt>
                <c:pt idx="13">
                  <c:v>17698</c:v>
                </c:pt>
                <c:pt idx="14">
                  <c:v>18609</c:v>
                </c:pt>
                <c:pt idx="15">
                  <c:v>19116</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Scarborough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33.9</c:v>
                </c:pt>
                <c:pt idx="1">
                  <c:v>36.6</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Scarborough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27.5</c:v>
                </c:pt>
                <c:pt idx="1">
                  <c:v>23.6</c:v>
                </c:pt>
                <c:pt idx="2">
                  <c:v>25.5</c:v>
                </c:pt>
                <c:pt idx="3">
                  <c:v>33.200000000000003</c:v>
                </c:pt>
                <c:pt idx="4">
                  <c:v>20.100000000000001</c:v>
                </c:pt>
                <c:pt idx="5">
                  <c:v>26.9</c:v>
                </c:pt>
                <c:pt idx="6">
                  <c:v>26.5</c:v>
                </c:pt>
                <c:pt idx="7">
                  <c:v>17.7</c:v>
                </c:pt>
                <c:pt idx="8">
                  <c:v>23.9</c:v>
                </c:pt>
                <c:pt idx="9">
                  <c:v>22.8</c:v>
                </c:pt>
                <c:pt idx="10">
                  <c:v>28.9</c:v>
                </c:pt>
                <c:pt idx="11">
                  <c:v>19.600000000000001</c:v>
                </c:pt>
                <c:pt idx="12">
                  <c:v>16.7</c:v>
                </c:pt>
                <c:pt idx="13">
                  <c:v>20.7</c:v>
                </c:pt>
                <c:pt idx="14">
                  <c:v>18.899999999999999</c:v>
                </c:pt>
                <c:pt idx="15">
                  <c:v>17.899999999999999</c:v>
                </c:pt>
                <c:pt idx="16">
                  <c:v>23.5</c:v>
                </c:pt>
                <c:pt idx="17">
                  <c:v>19.7</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Scarborough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42.599999999999994</c:v>
                </c:pt>
                <c:pt idx="1">
                  <c:v>31.999999999999993</c:v>
                </c:pt>
                <c:pt idx="2">
                  <c:v>26.699999999999996</c:v>
                </c:pt>
                <c:pt idx="3">
                  <c:v>39</c:v>
                </c:pt>
                <c:pt idx="4">
                  <c:v>26.4</c:v>
                </c:pt>
                <c:pt idx="5">
                  <c:v>31.599999999999994</c:v>
                </c:pt>
                <c:pt idx="6">
                  <c:v>40.499999999999993</c:v>
                </c:pt>
                <c:pt idx="7">
                  <c:v>21.599999999999994</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Scarborough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18.554834335522013</c:v>
                </c:pt>
                <c:pt idx="1">
                  <c:v>19.273440227938536</c:v>
                </c:pt>
                <c:pt idx="2">
                  <c:v>14.910303038133321</c:v>
                </c:pt>
                <c:pt idx="3">
                  <c:v>27.886867808771896</c:v>
                </c:pt>
                <c:pt idx="4">
                  <c:v>23.255753162561764</c:v>
                </c:pt>
                <c:pt idx="5">
                  <c:v>13.326653306613226</c:v>
                </c:pt>
                <c:pt idx="6">
                  <c:v>20.236933797909408</c:v>
                </c:pt>
                <c:pt idx="7">
                  <c:v>22.488089502703282</c:v>
                </c:pt>
                <c:pt idx="8">
                  <c:v>23.281536635372831</c:v>
                </c:pt>
                <c:pt idx="9">
                  <c:v>7.694514162782359</c:v>
                </c:pt>
                <c:pt idx="10">
                  <c:v>0</c:v>
                </c:pt>
                <c:pt idx="11">
                  <c:v>9.4572094572094567</c:v>
                </c:pt>
                <c:pt idx="12">
                  <c:v>6.1610679184391959</c:v>
                </c:pt>
                <c:pt idx="13">
                  <c:v>15.479907857691325</c:v>
                </c:pt>
                <c:pt idx="14">
                  <c:v>21.077988557663353</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Scarborough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46.599999999999994</c:v>
                </c:pt>
                <c:pt idx="1">
                  <c:v>44.3</c:v>
                </c:pt>
                <c:pt idx="2">
                  <c:v>43.3</c:v>
                </c:pt>
                <c:pt idx="3">
                  <c:v>49.9</c:v>
                </c:pt>
                <c:pt idx="4">
                  <c:v>49.400000000000006</c:v>
                </c:pt>
                <c:pt idx="5">
                  <c:v>41.7</c:v>
                </c:pt>
                <c:pt idx="6">
                  <c:v>46.1</c:v>
                </c:pt>
                <c:pt idx="7">
                  <c:v>41.099999999999994</c:v>
                </c:pt>
                <c:pt idx="8">
                  <c:v>44.7</c:v>
                </c:pt>
                <c:pt idx="9">
                  <c:v>48.4</c:v>
                </c:pt>
                <c:pt idx="10">
                  <c:v>45.9</c:v>
                </c:pt>
                <c:pt idx="11">
                  <c:v>61.4</c:v>
                </c:pt>
                <c:pt idx="12">
                  <c:v>56</c:v>
                </c:pt>
                <c:pt idx="13">
                  <c:v>50.4</c:v>
                </c:pt>
                <c:pt idx="14">
                  <c:v>53.1</c:v>
                </c:pt>
                <c:pt idx="15">
                  <c:v>49.3</c:v>
                </c:pt>
                <c:pt idx="16">
                  <c:v>51.599999999999994</c:v>
                </c:pt>
                <c:pt idx="17">
                  <c:v>53.800000000000004</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Scarborough has fluctuated a little over the years taking it at times above and below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Scarborough, it is significantly lower than either the rural or England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Scarborough increased between 2017 and 2018 moving it further beyond the rural and England situations.</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Scarborough's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Scarborough between 2014 and 2021 has been in certain years in line with the rural and England situation, but in other years has been significantly greater.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Scarborough has been less stable and has in certain years been significantly greater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Scarborough in general has a lower proportion of employed people in skilled employment than seen for either 'Rural as a Region' or England.</a:t>
          </a:r>
          <a:endParaRPr lang="en-GB" sz="1100">
            <a:latin typeface="Avenir Next LT Pro" panose="020B0504020202020204" pitchFamily="34" charset="0"/>
          </a:endParaRPr>
        </a:p>
      </xdr:txBody>
    </xdr:sp>
    <xdr:clientData/>
  </xdr:twoCellAnchor>
  <xdr:twoCellAnchor>
    <xdr:from>
      <xdr:col>0</xdr:col>
      <xdr:colOff>601980</xdr:colOff>
      <xdr:row>20</xdr:row>
      <xdr:rowOff>617220</xdr:rowOff>
    </xdr:from>
    <xdr:to>
      <xdr:col>1</xdr:col>
      <xdr:colOff>2583180</xdr:colOff>
      <xdr:row>22</xdr:row>
      <xdr:rowOff>144780</xdr:rowOff>
    </xdr:to>
    <xdr:sp macro="" textlink="">
      <xdr:nvSpPr>
        <xdr:cNvPr id="20" name="TextBox 19">
          <a:extLst>
            <a:ext uri="{FF2B5EF4-FFF2-40B4-BE49-F238E27FC236}">
              <a16:creationId xmlns:a16="http://schemas.microsoft.com/office/drawing/2014/main" id="{D1E38F6D-ACF0-49F3-84A0-A06C35A45CFC}"/>
            </a:ext>
          </a:extLst>
        </xdr:cNvPr>
        <xdr:cNvSpPr txBox="1"/>
      </xdr:nvSpPr>
      <xdr:spPr>
        <a:xfrm>
          <a:off x="601980" y="75438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Scarborough from 2008 to 2021 in general lies just below that seen for 'Rural as a Region'.</a:t>
          </a:r>
          <a:endParaRPr lang="en-GB" sz="1100">
            <a:latin typeface="Avenir Next LT Pro" panose="020B0504020202020204" pitchFamily="34" charset="0"/>
          </a:endParaRPr>
        </a:p>
      </xdr:txBody>
    </xdr:sp>
    <xdr:clientData/>
  </xdr:twoCellAnchor>
  <xdr:twoCellAnchor>
    <xdr:from>
      <xdr:col>0</xdr:col>
      <xdr:colOff>601980</xdr:colOff>
      <xdr:row>12</xdr:row>
      <xdr:rowOff>518160</xdr:rowOff>
    </xdr:from>
    <xdr:to>
      <xdr:col>1</xdr:col>
      <xdr:colOff>2583180</xdr:colOff>
      <xdr:row>14</xdr:row>
      <xdr:rowOff>22860</xdr:rowOff>
    </xdr:to>
    <xdr:sp macro="" textlink="">
      <xdr:nvSpPr>
        <xdr:cNvPr id="21" name="TextBox 20">
          <a:extLst>
            <a:ext uri="{FF2B5EF4-FFF2-40B4-BE49-F238E27FC236}">
              <a16:creationId xmlns:a16="http://schemas.microsoft.com/office/drawing/2014/main" id="{02C01294-8F07-4A6D-8673-9675D08078DE}"/>
            </a:ext>
          </a:extLst>
        </xdr:cNvPr>
        <xdr:cNvSpPr txBox="1"/>
      </xdr:nvSpPr>
      <xdr:spPr>
        <a:xfrm>
          <a:off x="601980" y="35052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Scarborough in 2004 is below that of 'Rural as a Region' and England.  It increases to 2019 at a lower rate thus increasing the gap to both.</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293</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Scarborough</v>
      </c>
      <c r="G12" s="88" t="str">
        <f>IFERROR(VLOOKUP(F12,GVA!B244:B552,1,FALSE),VLOOKUP(F12,GVA!B6:C230,2,FALSE))</f>
        <v>Scarborough</v>
      </c>
      <c r="H12" s="89" t="str">
        <f>IF(F12=G12,"",G12)</f>
        <v/>
      </c>
      <c r="I12" s="76">
        <f>IFERROR(VLOOKUP($F12,GVA!$B$7:$S$230,GVA!D$3,FALSE),VLOOKUP($F12,GVA!$B$244:$T$554,GVA!E$3,FALSE))</f>
        <v>21.42</v>
      </c>
      <c r="J12" s="77">
        <f>IFERROR(VLOOKUP($F12,GVA!$B$7:$S$230,GVA!E$3,FALSE),VLOOKUP($F12,GVA!$B$244:$T$554,GVA!F$3,FALSE))</f>
        <v>21.39</v>
      </c>
      <c r="K12" s="77">
        <f>IFERROR(VLOOKUP($F12,GVA!$B$7:$S$230,GVA!F$3,FALSE),VLOOKUP($F12,GVA!$B$244:$T$554,GVA!G$3,FALSE))</f>
        <v>22.1</v>
      </c>
      <c r="L12" s="77">
        <f>IFERROR(VLOOKUP($F12,GVA!$B$7:$S$230,GVA!G$3,FALSE),VLOOKUP($F12,GVA!$B$244:$T$554,GVA!H$3,FALSE))</f>
        <v>22.51</v>
      </c>
      <c r="M12" s="77">
        <f>IFERROR(VLOOKUP($F12,GVA!$B$7:$S$230,GVA!H$3,FALSE),VLOOKUP($F12,GVA!$B$244:$T$554,GVA!I$3,FALSE))</f>
        <v>23.11</v>
      </c>
      <c r="N12" s="77">
        <f>IFERROR(VLOOKUP($F12,GVA!$B$7:$S$230,GVA!I$3,FALSE),VLOOKUP($F12,GVA!$B$244:$T$554,GVA!J$3,FALSE))</f>
        <v>23.35</v>
      </c>
      <c r="O12" s="77">
        <f>IFERROR(VLOOKUP($F12,GVA!$B$7:$S$230,GVA!J$3,FALSE),VLOOKUP($F12,GVA!$B$244:$T$554,GVA!K$3,FALSE))</f>
        <v>23.7</v>
      </c>
      <c r="P12" s="77">
        <f>IFERROR(VLOOKUP($F12,GVA!$B$7:$S$230,GVA!K$3,FALSE),VLOOKUP($F12,GVA!$B$244:$T$554,GVA!L$3,FALSE))</f>
        <v>23.65</v>
      </c>
      <c r="Q12" s="77">
        <f>IFERROR(VLOOKUP($F12,GVA!$B$7:$S$230,GVA!L$3,FALSE),VLOOKUP($F12,GVA!$B$244:$T$554,GVA!M$3,FALSE))</f>
        <v>23.72</v>
      </c>
      <c r="R12" s="77">
        <f>IFERROR(VLOOKUP($F12,GVA!$B$7:$S$230,GVA!M$3,FALSE),VLOOKUP($F12,GVA!$B$244:$T$554,GVA!N$3,FALSE))</f>
        <v>23.49</v>
      </c>
      <c r="S12" s="77">
        <f>IFERROR(VLOOKUP($F12,GVA!$B$7:$S$230,GVA!N$3,FALSE),VLOOKUP($F12,GVA!$B$244:$T$554,GVA!O$3,FALSE))</f>
        <v>23.13</v>
      </c>
      <c r="T12" s="77">
        <f>IFERROR(VLOOKUP($F12,GVA!$B$7:$S$230,GVA!O$3,FALSE),VLOOKUP($F12,GVA!$B$244:$T$554,GVA!P$3,FALSE))</f>
        <v>22.7</v>
      </c>
      <c r="U12" s="77">
        <f>IFERROR(VLOOKUP($F12,GVA!$B$7:$S$230,GVA!P$3,FALSE),VLOOKUP($F12,GVA!$B$244:$T$554,GVA!Q$3,FALSE))</f>
        <v>22.82</v>
      </c>
      <c r="V12" s="77">
        <f>IFERROR(VLOOKUP($F12,GVA!$B$7:$S$230,GVA!Q$3,FALSE),VLOOKUP($F12,GVA!$B$244:$T$554,GVA!R$3,FALSE))</f>
        <v>23.77</v>
      </c>
      <c r="W12" s="77">
        <f>IFERROR(VLOOKUP($F12,GVA!$B$7:$S$230,GVA!R$3,FALSE),VLOOKUP($F12,GVA!$B$244:$T$554,GVA!S$3,FALSE))</f>
        <v>24.62</v>
      </c>
      <c r="X12" s="77">
        <f>IFERROR(VLOOKUP($F12,GVA!$B$7:$S$230,GVA!S$3,FALSE),VLOOKUP($F12,GVA!$B$244:$T$554,GVA!T$3,FALSE))</f>
        <v>25.15</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Scarborough to Rural as a Region</v>
      </c>
      <c r="G15" s="122"/>
      <c r="H15" s="123"/>
      <c r="I15" s="74">
        <f>100*((I12-I13)/I13)</f>
        <v>-9.0064075008723208</v>
      </c>
      <c r="J15" s="74">
        <f t="shared" ref="J15:X15" si="0">100*((J12-J13)/J13)</f>
        <v>-8.880864961356675</v>
      </c>
      <c r="K15" s="74">
        <f t="shared" si="0"/>
        <v>-9.0681988508619007</v>
      </c>
      <c r="L15" s="74">
        <f t="shared" si="0"/>
        <v>-9.3748202680163484</v>
      </c>
      <c r="M15" s="74">
        <f t="shared" si="0"/>
        <v>-8.5282933518044572</v>
      </c>
      <c r="N15" s="74">
        <f t="shared" si="0"/>
        <v>-8.3333722794210399</v>
      </c>
      <c r="O15" s="74">
        <f t="shared" si="0"/>
        <v>-8.1043404404602857</v>
      </c>
      <c r="P15" s="74">
        <f t="shared" si="0"/>
        <v>-9.6453765230798538</v>
      </c>
      <c r="Q15" s="74">
        <f t="shared" si="0"/>
        <v>-11.196684048669624</v>
      </c>
      <c r="R15" s="74">
        <f t="shared" si="0"/>
        <v>-13.556849396086101</v>
      </c>
      <c r="S15" s="74">
        <f t="shared" si="0"/>
        <v>-16.270410735756151</v>
      </c>
      <c r="T15" s="74">
        <f t="shared" si="0"/>
        <v>-19.355111569758581</v>
      </c>
      <c r="U15" s="74">
        <f t="shared" si="0"/>
        <v>-20.865620007348337</v>
      </c>
      <c r="V15" s="74">
        <f t="shared" si="0"/>
        <v>-19.752426501617659</v>
      </c>
      <c r="W15" s="74">
        <f t="shared" si="0"/>
        <v>-18.569589201831661</v>
      </c>
      <c r="X15" s="74">
        <f t="shared" si="0"/>
        <v>-17.679469744496981</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Scarborough</v>
      </c>
      <c r="G20" s="88"/>
      <c r="H20" s="89"/>
      <c r="I20" s="80">
        <f>IF(VLOOKUP($F20,PAY!$A$11:$AE$349,4,FALSE)="-",#N/A,VLOOKUP($F20,PAY!$A$11:$AE$349,4,FALSE))</f>
        <v>411.5</v>
      </c>
      <c r="J20" s="80">
        <f>IF(VLOOKUP($F20,PAY!$A$11:$AE$349,6,FALSE)="-",#N/A,VLOOKUP($F20,PAY!$A$11:$AE$349,6,FALSE))</f>
        <v>403.1</v>
      </c>
      <c r="K20" s="80">
        <f>IF(VLOOKUP($F20,PAY!$A$11:$AE$349,8,FALSE)="-",#N/A,VLOOKUP($F20,PAY!$A$11:$AE$349,8,FALSE))</f>
        <v>425.3</v>
      </c>
      <c r="L20" s="80">
        <f>IF(VLOOKUP($F20,PAY!$A$11:$AE$349,10,FALSE)="-",#N/A,VLOOKUP($F20,PAY!$A$11:$AE$349,10,FALSE))</f>
        <v>456.1</v>
      </c>
      <c r="M20" s="80">
        <f>IF(VLOOKUP($F20,PAY!$A$11:$AE$349,12,FALSE)="-",#N/A,VLOOKUP($F20,PAY!$A$11:$AE$349,12,FALSE))</f>
        <v>432.2</v>
      </c>
      <c r="N20" s="80">
        <f>IF(VLOOKUP($F20,PAY!$A$11:$AE$349,14,FALSE)="-",#N/A,VLOOKUP($F20,PAY!$A$11:$AE$349,14,FALSE))</f>
        <v>440.6</v>
      </c>
      <c r="O20" s="80">
        <f>IF(VLOOKUP($F20,PAY!$A$11:$AE$349,16,FALSE)="-",#N/A,VLOOKUP($F20,PAY!$A$11:$AE$349,16,FALSE))</f>
        <v>445.9</v>
      </c>
      <c r="P20" s="80">
        <f>IF(VLOOKUP($F20,PAY!$A$11:$AE$349,18,FALSE)="-",#N/A,VLOOKUP($F20,PAY!$A$11:$AE$349,18,FALSE))</f>
        <v>445.2</v>
      </c>
      <c r="Q20" s="80">
        <f>IF(VLOOKUP($F20,PAY!$A$11:$AE$349,20,FALSE)="-",#N/A,VLOOKUP($F20,PAY!$A$11:$AE$349,20,FALSE))</f>
        <v>460</v>
      </c>
      <c r="R20" s="80">
        <f>IF(VLOOKUP($F20,PAY!$A$11:$AE$349,22,FALSE)="-",#N/A,VLOOKUP($F20,PAY!$A$11:$AE$349,22,FALSE))</f>
        <v>464.2</v>
      </c>
      <c r="S20" s="80">
        <f>IF(VLOOKUP($F20,PAY!$A$11:$AE$349,24,FALSE)="-",#N/A,VLOOKUP($F20,PAY!$A$11:$AE$349,24,FALSE))</f>
        <v>467.5</v>
      </c>
      <c r="T20" s="80">
        <f>IF(VLOOKUP($F20,PAY!$A$11:$AE$349,26,FALSE)="-",#N/A,VLOOKUP($F20,PAY!$A$11:$AE$349,26,FALSE))</f>
        <v>479.7</v>
      </c>
      <c r="U20" s="80">
        <f>IF(VLOOKUP($F20,PAY!$A$11:$AE$349,28,FALSE)="-",#N/A,VLOOKUP($F20,PAY!$A$11:$AE$349,28,FALSE))</f>
        <v>516.4</v>
      </c>
      <c r="V20" s="80">
        <f>IF(VLOOKUP($F20,PAY!$A$11:$AE$349,30,FALSE)="-",#N/A,VLOOKUP($F20,PAY!$A$11:$AE$349,30,FALSE))</f>
        <v>503.1</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Scarborough to Rural as a Region</v>
      </c>
      <c r="G23" s="122"/>
      <c r="H23" s="123"/>
      <c r="I23" s="74">
        <f>100*((I20-I21)/I21)</f>
        <v>-4.9636910051920085</v>
      </c>
      <c r="J23" s="74">
        <f t="shared" ref="J23:V23" si="2">100*((J20-J21)/J21)</f>
        <v>-7.741603249985693</v>
      </c>
      <c r="K23" s="74">
        <f t="shared" si="2"/>
        <v>-5.090831024070031</v>
      </c>
      <c r="L23" s="74">
        <f t="shared" si="2"/>
        <v>1.2086535436609833</v>
      </c>
      <c r="M23" s="74">
        <f t="shared" si="2"/>
        <v>-5.0617002463561134</v>
      </c>
      <c r="N23" s="74">
        <f t="shared" si="2"/>
        <v>-4.8733827813700721</v>
      </c>
      <c r="O23" s="74">
        <f t="shared" si="2"/>
        <v>-5.2893792984776908</v>
      </c>
      <c r="P23" s="74">
        <f t="shared" si="2"/>
        <v>-6.2384533562244631</v>
      </c>
      <c r="Q23" s="74">
        <f t="shared" si="2"/>
        <v>-6.0231554393559827</v>
      </c>
      <c r="R23" s="74">
        <f t="shared" si="2"/>
        <v>-7.9072337112793392</v>
      </c>
      <c r="S23" s="74">
        <f t="shared" si="2"/>
        <v>-9.1219427777606477</v>
      </c>
      <c r="T23" s="74">
        <f t="shared" si="2"/>
        <v>-10.117843352880945</v>
      </c>
      <c r="U23" s="74">
        <f t="shared" si="2"/>
        <v>-2.7583546974612276</v>
      </c>
      <c r="V23" s="74">
        <f t="shared" si="2"/>
        <v>-10.838061114895259</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Scarborough</v>
      </c>
      <c r="G28" s="88"/>
      <c r="H28" s="89"/>
      <c r="I28" s="76">
        <f>VLOOKUP($F28,EMPLOYMENT!$A$6:$BW$345,6,FALSE)</f>
        <v>69.599999999999994</v>
      </c>
      <c r="J28" s="77">
        <f>VLOOKUP($F28,EMPLOYMENT!$A$6:$BW$345,10,FALSE)</f>
        <v>73.8</v>
      </c>
      <c r="K28" s="77">
        <f>VLOOKUP($F28,EMPLOYMENT!$A$6:$BW$345,14,FALSE)</f>
        <v>69.7</v>
      </c>
      <c r="L28" s="77">
        <f>VLOOKUP($F28,EMPLOYMENT!$A$6:$BW$345,18,FALSE)</f>
        <v>63.1</v>
      </c>
      <c r="M28" s="77">
        <f>VLOOKUP($F28,EMPLOYMENT!$A$6:$BW$345,22,FALSE)</f>
        <v>74.2</v>
      </c>
      <c r="N28" s="77">
        <f>VLOOKUP($F28,EMPLOYMENT!$A$6:$BW$345,26,FALSE)</f>
        <v>68</v>
      </c>
      <c r="O28" s="77">
        <f>VLOOKUP($F28,EMPLOYMENT!$A$6:$BW$345,30,FALSE)</f>
        <v>66.2</v>
      </c>
      <c r="P28" s="77">
        <f>VLOOKUP($F28,EMPLOYMENT!$A$6:$BW$345,34,FALSE)</f>
        <v>76.099999999999994</v>
      </c>
      <c r="Q28" s="77">
        <f>VLOOKUP($F28,EMPLOYMENT!$A$6:$BW$345,38,FALSE)</f>
        <v>66.599999999999994</v>
      </c>
      <c r="R28" s="77">
        <f>VLOOKUP($F28,EMPLOYMENT!$A$6:$BW$345,42,FALSE)</f>
        <v>69</v>
      </c>
      <c r="S28" s="77">
        <f>VLOOKUP($F28,EMPLOYMENT!$A$6:$BW$345,46,FALSE)</f>
        <v>65.2</v>
      </c>
      <c r="T28" s="77">
        <f>VLOOKUP($F28,EMPLOYMENT!$A$6:$BW$345,50,FALSE)</f>
        <v>79.7</v>
      </c>
      <c r="U28" s="77">
        <f>VLOOKUP($F28,EMPLOYMENT!$A$6:$BW$345,54,FALSE)</f>
        <v>80.7</v>
      </c>
      <c r="V28" s="77">
        <f>VLOOKUP($F28,EMPLOYMENT!$A$6:$BW$345,58,FALSE)</f>
        <v>75.8</v>
      </c>
      <c r="W28" s="77">
        <f>VLOOKUP($F28,EMPLOYMENT!$A$6:$BW$345,62,FALSE)</f>
        <v>76</v>
      </c>
      <c r="X28" s="77">
        <f>VLOOKUP($F28,EMPLOYMENT!$A$6:$BW$345,66,FALSE)</f>
        <v>80</v>
      </c>
      <c r="Y28" s="77">
        <f>VLOOKUP($F28,EMPLOYMENT!$A$6:$BW$345,70,FALSE)</f>
        <v>70.900000000000006</v>
      </c>
      <c r="Z28" s="77">
        <f>VLOOKUP($F28,EMPLOYMENT!$A$6:$BW$345,74,FALSE)</f>
        <v>78.2</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Scarborough to Rural as a Region</v>
      </c>
      <c r="G31" s="122"/>
      <c r="H31" s="123"/>
      <c r="I31" s="74">
        <f>(I28-I29)</f>
        <v>-6.5113419194017439</v>
      </c>
      <c r="J31" s="74">
        <f t="shared" ref="J31:Z31" si="4">(J28-J29)</f>
        <v>-2.5129754666829598</v>
      </c>
      <c r="K31" s="74">
        <f t="shared" si="4"/>
        <v>-6.1731888994867603</v>
      </c>
      <c r="L31" s="74">
        <f t="shared" si="4"/>
        <v>-12.540468302627836</v>
      </c>
      <c r="M31" s="74">
        <f t="shared" si="4"/>
        <v>-1.5355243733317394</v>
      </c>
      <c r="N31" s="74">
        <f t="shared" si="4"/>
        <v>-6.5095398428731812</v>
      </c>
      <c r="O31" s="74">
        <f t="shared" si="4"/>
        <v>-7.3471331389698662</v>
      </c>
      <c r="P31" s="74">
        <f t="shared" si="4"/>
        <v>2.3657045967223809</v>
      </c>
      <c r="Q31" s="74">
        <f t="shared" si="4"/>
        <v>-7.4331574754625791</v>
      </c>
      <c r="R31" s="74">
        <f t="shared" si="4"/>
        <v>-5.7444749299002069</v>
      </c>
      <c r="S31" s="74">
        <f t="shared" si="4"/>
        <v>-10.908860340075606</v>
      </c>
      <c r="T31" s="74">
        <f t="shared" si="4"/>
        <v>2.5094680243909835</v>
      </c>
      <c r="U31" s="74">
        <f t="shared" si="4"/>
        <v>3.7283675182919609</v>
      </c>
      <c r="V31" s="74">
        <f t="shared" si="4"/>
        <v>-2.2327868852459005</v>
      </c>
      <c r="W31" s="74">
        <f t="shared" si="4"/>
        <v>-2.048156893414145</v>
      </c>
      <c r="X31" s="74">
        <f t="shared" si="4"/>
        <v>1.4087006210432946</v>
      </c>
      <c r="Y31" s="74">
        <f t="shared" si="4"/>
        <v>-6.1143462961291988</v>
      </c>
      <c r="Z31" s="74">
        <f t="shared" si="4"/>
        <v>2.0442419221209605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Scarborough</v>
      </c>
      <c r="G36" s="88" t="str">
        <f>IFERROR(VLOOKUP(F36,GDHI!B338:C574,2,FALSE),VLOOKUP(F36,GDHI!C3:C336,1,FALSE))</f>
        <v>Scarborough</v>
      </c>
      <c r="H36" s="89" t="str">
        <f>IF(F36=G36,"",G36)</f>
        <v/>
      </c>
      <c r="I36" s="83">
        <f>IFERROR(VLOOKUP($F36,GDHI!$B$338:$U$574,GDHI!G$578,FALSE),VLOOKUP($F36,GDHI!$C$3:$U$336,GDHI!F$578,FALSE))</f>
        <v>11495</v>
      </c>
      <c r="J36" s="84">
        <f>IFERROR(VLOOKUP($F36,GDHI!$B$338:$U$574,GDHI!H$578,FALSE),VLOOKUP($F36,GDHI!$C$3:$U$336,GDHI!G$578,FALSE))</f>
        <v>12159</v>
      </c>
      <c r="K36" s="84">
        <f>IFERROR(VLOOKUP($F36,GDHI!$B$338:$U$574,GDHI!I$578,FALSE),VLOOKUP($F36,GDHI!$C$3:$U$336,GDHI!H$578,FALSE))</f>
        <v>12931</v>
      </c>
      <c r="L36" s="84">
        <f>IFERROR(VLOOKUP($F36,GDHI!$B$338:$U$574,GDHI!J$578,FALSE),VLOOKUP($F36,GDHI!$C$3:$U$336,GDHI!I$578,FALSE))</f>
        <v>13313</v>
      </c>
      <c r="M36" s="84">
        <f>IFERROR(VLOOKUP($F36,GDHI!$B$338:$U$574,GDHI!K$578,FALSE),VLOOKUP($F36,GDHI!$C$3:$U$336,GDHI!J$578,FALSE))</f>
        <v>13683</v>
      </c>
      <c r="N36" s="84">
        <f>IFERROR(VLOOKUP($F36,GDHI!$B$338:$U$574,GDHI!L$578,FALSE),VLOOKUP($F36,GDHI!$C$3:$U$336,GDHI!K$578,FALSE))</f>
        <v>14596</v>
      </c>
      <c r="O36" s="84">
        <f>IFERROR(VLOOKUP($F36,GDHI!$B$338:$U$574,GDHI!M$578,FALSE),VLOOKUP($F36,GDHI!$C$3:$U$336,GDHI!L$578,FALSE))</f>
        <v>14530</v>
      </c>
      <c r="P36" s="84">
        <f>IFERROR(VLOOKUP($F36,GDHI!$B$338:$U$574,GDHI!N$578,FALSE),VLOOKUP($F36,GDHI!$C$3:$U$336,GDHI!M$578,FALSE))</f>
        <v>15048</v>
      </c>
      <c r="Q36" s="84">
        <f>IFERROR(VLOOKUP($F36,GDHI!$B$338:$U$574,GDHI!O$578,FALSE),VLOOKUP($F36,GDHI!$C$3:$U$336,GDHI!N$578,FALSE))</f>
        <v>15661</v>
      </c>
      <c r="R36" s="84">
        <f>IFERROR(VLOOKUP($F36,GDHI!$B$338:$U$574,GDHI!P$578,FALSE),VLOOKUP($F36,GDHI!$C$3:$U$336,GDHI!O$578,FALSE))</f>
        <v>15970</v>
      </c>
      <c r="S36" s="84">
        <f>IFERROR(VLOOKUP($F36,GDHI!$B$338:$U$574,GDHI!Q$578,FALSE),VLOOKUP($F36,GDHI!$C$3:$U$336,GDHI!P$578,FALSE))</f>
        <v>16114</v>
      </c>
      <c r="T36" s="84">
        <f>IFERROR(VLOOKUP($F36,GDHI!$B$338:$U$574,GDHI!R$578,FALSE),VLOOKUP($F36,GDHI!$C$3:$U$336,GDHI!Q$578,FALSE))</f>
        <v>17111</v>
      </c>
      <c r="U36" s="84">
        <f>IFERROR(VLOOKUP($F36,GDHI!$B$338:$U$574,GDHI!S$578,FALSE),VLOOKUP($F36,GDHI!$C$3:$U$336,GDHI!R$578,FALSE))</f>
        <v>17183</v>
      </c>
      <c r="V36" s="84">
        <f>IFERROR(VLOOKUP($F36,GDHI!$B$338:$U$574,GDHI!T$578,FALSE),VLOOKUP($F36,GDHI!$C$3:$U$336,GDHI!S$578,FALSE))</f>
        <v>17698</v>
      </c>
      <c r="W36" s="84">
        <f>IFERROR(VLOOKUP($F36,GDHI!$B$338:$U$574,GDHI!U$578,FALSE),VLOOKUP($F36,GDHI!$C$3:$U$336,GDHI!T$578,FALSE))</f>
        <v>18609</v>
      </c>
      <c r="X36" s="84">
        <f>IFERROR(VLOOKUP($F36,GDHI!$B$338:$U$574,GDHI!V$578,FALSE),VLOOKUP($F36,GDHI!$C$3:$U$336,GDHI!U$578,FALSE))</f>
        <v>19116</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Scarborough to Rural as a Region</v>
      </c>
      <c r="G39" s="122"/>
      <c r="H39" s="123"/>
      <c r="I39" s="74">
        <f>100*((I36-I37)/I37)</f>
        <v>-21.85322410686971</v>
      </c>
      <c r="J39" s="74">
        <f t="shared" ref="J39:X39" si="6">100*((J36-J37)/J37)</f>
        <v>-20.74407863544198</v>
      </c>
      <c r="K39" s="74">
        <f t="shared" si="6"/>
        <v>-18.796439376778793</v>
      </c>
      <c r="L39" s="74">
        <f t="shared" si="6"/>
        <v>-19.647172182475447</v>
      </c>
      <c r="M39" s="74">
        <f t="shared" si="6"/>
        <v>-19.810677704885769</v>
      </c>
      <c r="N39" s="74">
        <f t="shared" si="6"/>
        <v>-15.595499120545508</v>
      </c>
      <c r="O39" s="74">
        <f t="shared" si="6"/>
        <v>-17.008972131654733</v>
      </c>
      <c r="P39" s="74">
        <f t="shared" si="6"/>
        <v>-15.460900318618728</v>
      </c>
      <c r="Q39" s="74">
        <f t="shared" si="6"/>
        <v>-14.729960447868573</v>
      </c>
      <c r="R39" s="74">
        <f t="shared" si="6"/>
        <v>-15.385978777742809</v>
      </c>
      <c r="S39" s="74">
        <f t="shared" si="6"/>
        <v>-16.921167617094067</v>
      </c>
      <c r="T39" s="74">
        <f t="shared" si="6"/>
        <v>-16.361808132897131</v>
      </c>
      <c r="U39" s="74">
        <f t="shared" si="6"/>
        <v>-16.688100147071392</v>
      </c>
      <c r="V39" s="74">
        <f t="shared" si="6"/>
        <v>-15.585080015285893</v>
      </c>
      <c r="W39" s="74">
        <f t="shared" si="6"/>
        <v>-14.801293713802346</v>
      </c>
      <c r="X39" s="74">
        <f t="shared" si="6"/>
        <v>-14.143779163554379</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Scarborough</v>
      </c>
      <c r="G44" s="88"/>
      <c r="H44" s="89"/>
      <c r="I44" s="76">
        <f>VLOOKUP($F44,'LOW PAID'!$A$9:$N$444,6,FALSE)</f>
        <v>33.9</v>
      </c>
      <c r="J44" s="77">
        <f>VLOOKUP($F44,'LOW PAID'!$P$9:$W$444,6,FALSE)</f>
        <v>36.6</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Scarborough to Rural as a Region</v>
      </c>
      <c r="G47" s="122"/>
      <c r="H47" s="123"/>
      <c r="I47" s="74">
        <f>(I44-I45)</f>
        <v>8.7061253217868817</v>
      </c>
      <c r="J47" s="74">
        <f>(J44-J45)</f>
        <v>10.913883490969948</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Scarborough</v>
      </c>
      <c r="G52" s="88"/>
      <c r="H52" s="89"/>
      <c r="I52" s="76">
        <f>VLOOKUP($F52,INACTIVITY!$A$6:$BW$345,6,FALSE)</f>
        <v>27.5</v>
      </c>
      <c r="J52" s="77">
        <f>VLOOKUP($F52,INACTIVITY!$A$6:$BW$345,10,FALSE)</f>
        <v>23.6</v>
      </c>
      <c r="K52" s="77">
        <f>VLOOKUP($F52,INACTIVITY!$A$6:$BW$345,14,FALSE)</f>
        <v>25.5</v>
      </c>
      <c r="L52" s="77">
        <f>VLOOKUP($F52,INACTIVITY!$A$6:$BW$345,18,FALSE)</f>
        <v>33.200000000000003</v>
      </c>
      <c r="M52" s="77">
        <f>VLOOKUP($F52,INACTIVITY!$A$6:$BW$345,22,FALSE)</f>
        <v>20.100000000000001</v>
      </c>
      <c r="N52" s="77">
        <f>VLOOKUP($F52,INACTIVITY!$A$6:$BW$345,26,FALSE)</f>
        <v>26.9</v>
      </c>
      <c r="O52" s="77">
        <f>VLOOKUP($F52,INACTIVITY!$A$6:$BW$345,30,FALSE)</f>
        <v>26.5</v>
      </c>
      <c r="P52" s="77">
        <f>VLOOKUP($F52,INACTIVITY!$A$6:$BW$345,34,FALSE)</f>
        <v>17.7</v>
      </c>
      <c r="Q52" s="77">
        <f>VLOOKUP($F52,INACTIVITY!$A$6:$BW$345,38,FALSE)</f>
        <v>23.9</v>
      </c>
      <c r="R52" s="77">
        <f>VLOOKUP($F52,INACTIVITY!$A$6:$BW$345,42,FALSE)</f>
        <v>22.8</v>
      </c>
      <c r="S52" s="77">
        <f>VLOOKUP($F52,INACTIVITY!$A$6:$BW$345,46,FALSE)</f>
        <v>28.9</v>
      </c>
      <c r="T52" s="77">
        <f>VLOOKUP($F52,INACTIVITY!$A$6:$BW$345,50,FALSE)</f>
        <v>19.600000000000001</v>
      </c>
      <c r="U52" s="77">
        <f>VLOOKUP($F52,INACTIVITY!$A$6:$BW$345,54,FALSE)</f>
        <v>16.7</v>
      </c>
      <c r="V52" s="77">
        <f>VLOOKUP($F52,INACTIVITY!$A$6:$BW$345,58,FALSE)</f>
        <v>20.7</v>
      </c>
      <c r="W52" s="77">
        <f>VLOOKUP($F52,INACTIVITY!$A$6:$BW$345,62,FALSE)</f>
        <v>18.899999999999999</v>
      </c>
      <c r="X52" s="77">
        <f>VLOOKUP($F52,INACTIVITY!$A$6:$BW$345,66,FALSE)</f>
        <v>17.899999999999999</v>
      </c>
      <c r="Y52" s="77">
        <f>VLOOKUP($F52,INACTIVITY!$A$6:$BW$345,70,FALSE)</f>
        <v>23.5</v>
      </c>
      <c r="Z52" s="77">
        <f>VLOOKUP($F52,INACTIVITY!$A$6:$BW$345,74,FALSE)</f>
        <v>19.7</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Scarborough to Rural as a Region</v>
      </c>
      <c r="G55" s="122"/>
      <c r="H55" s="123"/>
      <c r="I55" s="74">
        <f>(I52-I53)</f>
        <v>6.1043554283897627</v>
      </c>
      <c r="J55" s="74">
        <f t="shared" ref="J55:Z55" si="10">(J52-J53)</f>
        <v>2.5914772727272748</v>
      </c>
      <c r="K55" s="74">
        <f t="shared" si="10"/>
        <v>4.6375346065412231</v>
      </c>
      <c r="L55" s="74">
        <f t="shared" si="10"/>
        <v>11.885934668463364</v>
      </c>
      <c r="M55" s="74">
        <f t="shared" si="10"/>
        <v>-0.73500231089200341</v>
      </c>
      <c r="N55" s="74">
        <f t="shared" si="10"/>
        <v>5.9668562420795581</v>
      </c>
      <c r="O55" s="74">
        <f t="shared" si="10"/>
        <v>4.8080628724948262</v>
      </c>
      <c r="P55" s="74">
        <f t="shared" si="10"/>
        <v>-3.7942457807534495</v>
      </c>
      <c r="Q55" s="74">
        <f t="shared" si="10"/>
        <v>2.7174512055109048</v>
      </c>
      <c r="R55" s="74">
        <f t="shared" si="10"/>
        <v>2.0254069025612296</v>
      </c>
      <c r="S55" s="74">
        <f t="shared" si="10"/>
        <v>8.6267895440275986</v>
      </c>
      <c r="T55" s="74">
        <f t="shared" si="10"/>
        <v>-9.6194683406956472E-2</v>
      </c>
      <c r="U55" s="74">
        <f t="shared" si="10"/>
        <v>-3.1524293470694715</v>
      </c>
      <c r="V55" s="74">
        <f t="shared" si="10"/>
        <v>1.4467226657196228</v>
      </c>
      <c r="W55" s="74">
        <f t="shared" si="10"/>
        <v>-0.27695600918285024</v>
      </c>
      <c r="X55" s="74">
        <f t="shared" si="10"/>
        <v>-0.95206494936493158</v>
      </c>
      <c r="Y55" s="74">
        <f t="shared" si="10"/>
        <v>3.727417278128538</v>
      </c>
      <c r="Z55" s="74">
        <f t="shared" si="10"/>
        <v>-1.3851797756300712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Scarborough</v>
      </c>
      <c r="G60" s="88"/>
      <c r="H60" s="89"/>
      <c r="I60" s="76">
        <f>VLOOKUP($F60,DISABILITY!$A$718:$I$1052,DISABILITY!B$1053,FALSE)</f>
        <v>42.599999999999994</v>
      </c>
      <c r="J60" s="77">
        <f>VLOOKUP($F60,DISABILITY!$A$718:$I$1052,DISABILITY!C$1053,FALSE)</f>
        <v>31.999999999999993</v>
      </c>
      <c r="K60" s="77">
        <f>VLOOKUP($F60,DISABILITY!$A$718:$I$1052,DISABILITY!D$1053,FALSE)</f>
        <v>26.699999999999996</v>
      </c>
      <c r="L60" s="77">
        <f>VLOOKUP($F60,DISABILITY!$A$718:$I$1052,DISABILITY!E$1053,FALSE)</f>
        <v>39</v>
      </c>
      <c r="M60" s="77">
        <f>VLOOKUP($F60,DISABILITY!$A$718:$I$1052,DISABILITY!F$1053,FALSE)</f>
        <v>26.4</v>
      </c>
      <c r="N60" s="77">
        <f>VLOOKUP($F60,DISABILITY!$A$718:$I$1052,DISABILITY!G$1053,FALSE)</f>
        <v>31.599999999999994</v>
      </c>
      <c r="O60" s="77">
        <f>VLOOKUP($F60,DISABILITY!$A$718:$I$1052,DISABILITY!H$1053,FALSE)</f>
        <v>40.499999999999993</v>
      </c>
      <c r="P60" s="77">
        <f>VLOOKUP($F60,DISABILITY!$A$718:$I$1052,DISABILITY!I$1053,FALSE)</f>
        <v>21.599999999999994</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Scarborough to Rural as a Region</v>
      </c>
      <c r="G63" s="122"/>
      <c r="H63" s="123"/>
      <c r="I63" s="74">
        <f>(I60-I61)</f>
        <v>15.179843459352746</v>
      </c>
      <c r="J63" s="74">
        <f t="shared" ref="J63:P63" si="12">(J60-J61)</f>
        <v>4.6809555929488056</v>
      </c>
      <c r="K63" s="74">
        <f t="shared" si="12"/>
        <v>-1.4191283614982098</v>
      </c>
      <c r="L63" s="74">
        <f t="shared" si="12"/>
        <v>13.009065461003324</v>
      </c>
      <c r="M63" s="74">
        <f t="shared" si="12"/>
        <v>0.92477418133388056</v>
      </c>
      <c r="N63" s="74">
        <f t="shared" si="12"/>
        <v>6.0687523145580116</v>
      </c>
      <c r="O63" s="74">
        <f t="shared" si="12"/>
        <v>16.702777712003048</v>
      </c>
      <c r="P63" s="74">
        <f t="shared" si="12"/>
        <v>-3.7541779303421805</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Scarborough</v>
      </c>
      <c r="G68" s="88"/>
      <c r="H68" s="89"/>
      <c r="I68" s="76">
        <f>VLOOKUP($F68,'WORKLESS HOUSEHOLDS'!$DW$4:$EC$397,7,FALSE)</f>
        <v>18.554834335522013</v>
      </c>
      <c r="J68" s="77">
        <f>VLOOKUP($F68,'WORKLESS HOUSEHOLDS'!$DN$4:$DT$397,7,FALSE)</f>
        <v>19.273440227938536</v>
      </c>
      <c r="K68" s="77">
        <f>VLOOKUP($F68,'WORKLESS HOUSEHOLDS'!$DE$4:$DK$397,7,FALSE)</f>
        <v>14.910303038133321</v>
      </c>
      <c r="L68" s="77">
        <f>VLOOKUP($F68,'WORKLESS HOUSEHOLDS'!$CV$4:$DB$397,7,FALSE)</f>
        <v>27.886867808771896</v>
      </c>
      <c r="M68" s="77">
        <f>VLOOKUP($F68,'WORKLESS HOUSEHOLDS'!$CM$4:$CS$397,7,FALSE)</f>
        <v>23.255753162561764</v>
      </c>
      <c r="N68" s="77">
        <f>VLOOKUP($F68,'WORKLESS HOUSEHOLDS'!$CD$4:$CJ$397,7,FALSE)</f>
        <v>13.326653306613226</v>
      </c>
      <c r="O68" s="77">
        <f>VLOOKUP($F68,'WORKLESS HOUSEHOLDS'!$BU$4:$CA$397,7,FALSE)</f>
        <v>20.236933797909408</v>
      </c>
      <c r="P68" s="77">
        <f>VLOOKUP($F68,'WORKLESS HOUSEHOLDS'!$BL$4:$BR$397,7,FALSE)</f>
        <v>22.488089502703282</v>
      </c>
      <c r="Q68" s="77">
        <f>VLOOKUP($F68,'WORKLESS HOUSEHOLDS'!$BC$4:$BI$397,7,FALSE)</f>
        <v>23.281536635372831</v>
      </c>
      <c r="R68" s="77">
        <f>VLOOKUP($F68,'WORKLESS HOUSEHOLDS'!$AT$4:$AZ$397,7,FALSE)</f>
        <v>7.694514162782359</v>
      </c>
      <c r="S68" s="77" t="str">
        <f>VLOOKUP($F68,'WORKLESS HOUSEHOLDS'!$AK$4:$AQ$397,7,FALSE)</f>
        <v>#</v>
      </c>
      <c r="T68" s="77">
        <f>VLOOKUP($F68,'WORKLESS HOUSEHOLDS'!$AB$4:$AH$397,7,FALSE)</f>
        <v>9.4572094572094567</v>
      </c>
      <c r="U68" s="77">
        <f>VLOOKUP($F68,'WORKLESS HOUSEHOLDS'!$S$4:$Y$397,7,FALSE)</f>
        <v>6.1610679184391959</v>
      </c>
      <c r="V68" s="77">
        <f>VLOOKUP($F68,'WORKLESS HOUSEHOLDS'!$J$4:$P$397,7,FALSE)</f>
        <v>15.479907857691325</v>
      </c>
      <c r="W68" s="77">
        <f>VLOOKUP($F68,'WORKLESS HOUSEHOLDS'!$B$4:$H$397,7,FALSE)</f>
        <v>21.077988557663353</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Scarborough to Rural as a Region</v>
      </c>
      <c r="G71" s="122"/>
      <c r="H71" s="123"/>
      <c r="I71" s="74">
        <f>(I68-I69)</f>
        <v>8.5428884729353225</v>
      </c>
      <c r="J71" s="74">
        <f t="shared" ref="J71:W71" si="14">(J68-J69)</f>
        <v>8.3622853904635122</v>
      </c>
      <c r="K71" s="74">
        <f t="shared" si="14"/>
        <v>4.6170573089774773</v>
      </c>
      <c r="L71" s="74">
        <f t="shared" si="14"/>
        <v>16.920861147442164</v>
      </c>
      <c r="M71" s="74">
        <f t="shared" si="14"/>
        <v>11.56197398137329</v>
      </c>
      <c r="N71" s="74">
        <f t="shared" si="14"/>
        <v>1.4255536273578446</v>
      </c>
      <c r="O71" s="74">
        <f t="shared" si="14"/>
        <v>9.2016805501668966</v>
      </c>
      <c r="P71" s="74">
        <f t="shared" si="14"/>
        <v>12.796591616935444</v>
      </c>
      <c r="Q71" s="74">
        <f t="shared" si="14"/>
        <v>12.476358374974419</v>
      </c>
      <c r="R71" s="74">
        <f t="shared" si="14"/>
        <v>-3.0115821609471949</v>
      </c>
      <c r="S71" s="74" t="e">
        <f t="shared" si="14"/>
        <v>#VALUE!</v>
      </c>
      <c r="T71" s="74">
        <f t="shared" si="14"/>
        <v>-0.44645873742329378</v>
      </c>
      <c r="U71" s="74">
        <f t="shared" si="14"/>
        <v>-4.6009822462402798</v>
      </c>
      <c r="V71" s="74">
        <f t="shared" si="14"/>
        <v>5.5410393811516769</v>
      </c>
      <c r="W71" s="74">
        <f t="shared" si="14"/>
        <v>10.72528713447916</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Scarborough</v>
      </c>
      <c r="G76" s="88"/>
      <c r="H76" s="89"/>
      <c r="I76" s="76">
        <f>VLOOKUP($F76,'SKILLED EMPLOYMENT'!$A$1506:$BW$1841,6,FALSE)</f>
        <v>46.599999999999994</v>
      </c>
      <c r="J76" s="77">
        <f>VLOOKUP($F76,'SKILLED EMPLOYMENT'!$A$1506:$BW$1841,10,FALSE)</f>
        <v>44.3</v>
      </c>
      <c r="K76" s="77">
        <f>VLOOKUP($F76,'SKILLED EMPLOYMENT'!$A$1506:$BW$1841,14,FALSE)</f>
        <v>43.3</v>
      </c>
      <c r="L76" s="77">
        <f>VLOOKUP($F76,'SKILLED EMPLOYMENT'!$A$1506:$BW$1841,18,FALSE)</f>
        <v>49.9</v>
      </c>
      <c r="M76" s="77">
        <f>VLOOKUP($F76,'SKILLED EMPLOYMENT'!$A$1506:$BW$1841,22,FALSE)</f>
        <v>49.400000000000006</v>
      </c>
      <c r="N76" s="77">
        <f>VLOOKUP($F76,'SKILLED EMPLOYMENT'!$A$1506:$BW$1841,26,FALSE)</f>
        <v>41.7</v>
      </c>
      <c r="O76" s="77">
        <f>VLOOKUP($F76,'SKILLED EMPLOYMENT'!$A$1506:$BW$1841,30,FALSE)</f>
        <v>46.1</v>
      </c>
      <c r="P76" s="77">
        <f>VLOOKUP($F76,'SKILLED EMPLOYMENT'!$A$1506:$BW$1841,34,FALSE)</f>
        <v>41.099999999999994</v>
      </c>
      <c r="Q76" s="77">
        <f>VLOOKUP($F76,'SKILLED EMPLOYMENT'!$A$1506:$BW$1841,38,FALSE)</f>
        <v>44.7</v>
      </c>
      <c r="R76" s="77">
        <f>VLOOKUP($F76,'SKILLED EMPLOYMENT'!$A$1506:$BW$1841,42,FALSE)</f>
        <v>48.4</v>
      </c>
      <c r="S76" s="77">
        <f>VLOOKUP($F76,'SKILLED EMPLOYMENT'!$A$1506:$BW$1841,46,FALSE)</f>
        <v>45.9</v>
      </c>
      <c r="T76" s="77">
        <f>VLOOKUP($F76,'SKILLED EMPLOYMENT'!$A$1506:$BW$1841,50,FALSE)</f>
        <v>61.4</v>
      </c>
      <c r="U76" s="77">
        <f>VLOOKUP($F76,'SKILLED EMPLOYMENT'!$A$1506:$BW$1841,54,FALSE)</f>
        <v>56</v>
      </c>
      <c r="V76" s="77">
        <f>VLOOKUP($F76,'SKILLED EMPLOYMENT'!$A$1506:$BW$1841,58,FALSE)</f>
        <v>50.4</v>
      </c>
      <c r="W76" s="77">
        <f>VLOOKUP($F76,'SKILLED EMPLOYMENT'!$A$1506:$BW$1841,62,FALSE)</f>
        <v>53.1</v>
      </c>
      <c r="X76" s="77">
        <f>VLOOKUP($F76,'SKILLED EMPLOYMENT'!$A$1506:$BW$1841,66,FALSE)</f>
        <v>49.3</v>
      </c>
      <c r="Y76" s="77">
        <f>VLOOKUP($F76,'SKILLED EMPLOYMENT'!$A$1506:$BW$1841,70,FALSE)</f>
        <v>51.599999999999994</v>
      </c>
      <c r="Z76" s="77">
        <f>VLOOKUP($F76,'SKILLED EMPLOYMENT'!$A$1506:$BW$1841,74,FALSE)</f>
        <v>53.800000000000004</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Scarborough to Rural as a Region</v>
      </c>
      <c r="G79" s="122"/>
      <c r="H79" s="123"/>
      <c r="I79" s="74">
        <f>(I76-I77)</f>
        <v>-6.1000000000000085</v>
      </c>
      <c r="J79" s="74">
        <f t="shared" ref="J79:Z79" si="17">(J76-J77)</f>
        <v>-8.6000000000000014</v>
      </c>
      <c r="K79" s="74">
        <f t="shared" si="17"/>
        <v>-10.200000000000003</v>
      </c>
      <c r="L79" s="74">
        <f t="shared" si="17"/>
        <v>-4.1000000000000014</v>
      </c>
      <c r="M79" s="74">
        <f t="shared" si="17"/>
        <v>-4.6999999999999957</v>
      </c>
      <c r="N79" s="74">
        <f t="shared" si="17"/>
        <v>-12.699999999999996</v>
      </c>
      <c r="O79" s="74">
        <f t="shared" si="17"/>
        <v>-9.2999999999999972</v>
      </c>
      <c r="P79" s="74">
        <f t="shared" si="17"/>
        <v>-14.500000000000007</v>
      </c>
      <c r="Q79" s="74">
        <f t="shared" si="17"/>
        <v>-10.699999999999996</v>
      </c>
      <c r="R79" s="74">
        <f t="shared" si="17"/>
        <v>-7.8000000000000043</v>
      </c>
      <c r="S79" s="74">
        <f t="shared" si="17"/>
        <v>-10.300000000000004</v>
      </c>
      <c r="T79" s="74">
        <f t="shared" si="17"/>
        <v>4.6000000000000014</v>
      </c>
      <c r="U79" s="74">
        <f t="shared" si="17"/>
        <v>-0.60000000000000142</v>
      </c>
      <c r="V79" s="74">
        <f t="shared" si="17"/>
        <v>-6.7000000000000028</v>
      </c>
      <c r="W79" s="74">
        <f t="shared" si="17"/>
        <v>-4.6999999999999957</v>
      </c>
      <c r="X79" s="74">
        <f t="shared" si="17"/>
        <v>-9.5</v>
      </c>
      <c r="Y79" s="74">
        <f t="shared" si="17"/>
        <v>-7.1000000000000085</v>
      </c>
      <c r="Z79" s="74">
        <f t="shared" si="17"/>
        <v>-4.5999999999999943</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u8/Wj9kbJ94Eefix9Dfikmz0gLvi1qREaKHB/oil1E4MJgUgJAUSbCXU1o6HHputJteXAezqLe2ns1RTI+h+oA==" saltValue="psFGLOjeP6x7iaEUQf0o/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2022-06-29T15:16:23Z</cp:lastPrinted>
  <dcterms:created xsi:type="dcterms:W3CDTF">2022-05-30T09:14:22Z</dcterms:created>
  <dcterms:modified xsi:type="dcterms:W3CDTF">2022-08-02T13:15:30Z</dcterms:modified>
</cp:coreProperties>
</file>