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330FADC6-A0E6-434E-9566-23FE2D058E68}" xr6:coauthVersionLast="47" xr6:coauthVersionMax="47" xr10:uidLastSave="{3955B2F7-CB73-44FF-80FB-6E257CBFFAF4}"/>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<sst xmlns="http://schemas.openxmlformats.org/spreadsheetml/2006/main" count="32859" uniqueCount="1676">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</sst>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Selby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32.49</c:v>
                </c:pt>
                <c:pt idx="1">
                  <c:v>32.33</c:v>
                </c:pt>
                <c:pt idx="2">
                  <c:v>33.54</c:v>
                </c:pt>
                <c:pt idx="3">
                  <c:v>34.31</c:v>
                </c:pt>
                <c:pt idx="4">
                  <c:v>34.729999999999997</c:v>
                </c:pt>
                <c:pt idx="5">
                  <c:v>34.950000000000003</c:v>
                </c:pt>
                <c:pt idx="6">
                  <c:v>33.65</c:v>
                </c:pt>
                <c:pt idx="7">
                  <c:v>32.42</c:v>
                </c:pt>
                <c:pt idx="8">
                  <c:v>31.12</c:v>
                </c:pt>
                <c:pt idx="9">
                  <c:v>31.21</c:v>
                </c:pt>
                <c:pt idx="10">
                  <c:v>31.41</c:v>
                </c:pt>
                <c:pt idx="11">
                  <c:v>31.88</c:v>
                </c:pt>
                <c:pt idx="12">
                  <c:v>32</c:v>
                </c:pt>
                <c:pt idx="13">
                  <c:v>32.53</c:v>
                </c:pt>
                <c:pt idx="14">
                  <c:v>32.840000000000003</c:v>
                </c:pt>
                <c:pt idx="15">
                  <c:v>33.21</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Selby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513.9</c:v>
                </c:pt>
                <c:pt idx="1">
                  <c:v>500.3</c:v>
                </c:pt>
                <c:pt idx="2">
                  <c:v>537.70000000000005</c:v>
                </c:pt>
                <c:pt idx="3">
                  <c:v>482.8</c:v>
                </c:pt>
                <c:pt idx="4">
                  <c:v>511.7</c:v>
                </c:pt>
                <c:pt idx="5">
                  <c:v>514.70000000000005</c:v>
                </c:pt>
                <c:pt idx="6">
                  <c:v>517.1</c:v>
                </c:pt>
                <c:pt idx="7">
                  <c:v>519.79999999999995</c:v>
                </c:pt>
                <c:pt idx="8">
                  <c:v>501.6</c:v>
                </c:pt>
                <c:pt idx="9">
                  <c:v>552</c:v>
                </c:pt>
                <c:pt idx="10">
                  <c:v>536.6</c:v>
                </c:pt>
                <c:pt idx="11">
                  <c:v>578.9</c:v>
                </c:pt>
                <c:pt idx="12">
                  <c:v>544.70000000000005</c:v>
                </c:pt>
                <c:pt idx="13">
                  <c:v>596</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Selby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73.099999999999994</c:v>
                </c:pt>
                <c:pt idx="1">
                  <c:v>75.3</c:v>
                </c:pt>
                <c:pt idx="2">
                  <c:v>69.5</c:v>
                </c:pt>
                <c:pt idx="3">
                  <c:v>73.3</c:v>
                </c:pt>
                <c:pt idx="4">
                  <c:v>79.900000000000006</c:v>
                </c:pt>
                <c:pt idx="5">
                  <c:v>66</c:v>
                </c:pt>
                <c:pt idx="6">
                  <c:v>76.099999999999994</c:v>
                </c:pt>
                <c:pt idx="7">
                  <c:v>73.3</c:v>
                </c:pt>
                <c:pt idx="8">
                  <c:v>80.3</c:v>
                </c:pt>
                <c:pt idx="9">
                  <c:v>76.099999999999994</c:v>
                </c:pt>
                <c:pt idx="10">
                  <c:v>73.2</c:v>
                </c:pt>
                <c:pt idx="11">
                  <c:v>79.8</c:v>
                </c:pt>
                <c:pt idx="12">
                  <c:v>83.7</c:v>
                </c:pt>
                <c:pt idx="13">
                  <c:v>78.8</c:v>
                </c:pt>
                <c:pt idx="14">
                  <c:v>77</c:v>
                </c:pt>
                <c:pt idx="15">
                  <c:v>71.3</c:v>
                </c:pt>
                <c:pt idx="16">
                  <c:v>78.3</c:v>
                </c:pt>
                <c:pt idx="17">
                  <c:v>76.400000000000006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Selby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13896</c:v>
                </c:pt>
                <c:pt idx="1">
                  <c:v>14776</c:v>
                </c:pt>
                <c:pt idx="2">
                  <c:v>15578</c:v>
                </c:pt>
                <c:pt idx="3">
                  <c:v>15825</c:v>
                </c:pt>
                <c:pt idx="4">
                  <c:v>16021</c:v>
                </c:pt>
                <c:pt idx="5">
                  <c:v>17150</c:v>
                </c:pt>
                <c:pt idx="6">
                  <c:v>16746</c:v>
                </c:pt>
                <c:pt idx="7">
                  <c:v>17215</c:v>
                </c:pt>
                <c:pt idx="8">
                  <c:v>17936</c:v>
                </c:pt>
                <c:pt idx="9">
                  <c:v>18272</c:v>
                </c:pt>
                <c:pt idx="10">
                  <c:v>18208</c:v>
                </c:pt>
                <c:pt idx="11">
                  <c:v>19281</c:v>
                </c:pt>
                <c:pt idx="12">
                  <c:v>19444</c:v>
                </c:pt>
                <c:pt idx="13">
                  <c:v>20015</c:v>
                </c:pt>
                <c:pt idx="14">
                  <c:v>21125</c:v>
                </c:pt>
                <c:pt idx="15">
                  <c:v>21994</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Selby</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26.8</c:v>
                </c:pt>
                <c:pt idx="1">
                  <c:v>24.4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Selby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24.3</c:v>
                </c:pt>
                <c:pt idx="1">
                  <c:v>22.5</c:v>
                </c:pt>
                <c:pt idx="2">
                  <c:v>24.6</c:v>
                </c:pt>
                <c:pt idx="3">
                  <c:v>22.6</c:v>
                </c:pt>
                <c:pt idx="4">
                  <c:v>16.2</c:v>
                </c:pt>
                <c:pt idx="5">
                  <c:v>28.4</c:v>
                </c:pt>
                <c:pt idx="6">
                  <c:v>19.8</c:v>
                </c:pt>
                <c:pt idx="7">
                  <c:v>21.9</c:v>
                </c:pt>
                <c:pt idx="8">
                  <c:v>16.600000000000001</c:v>
                </c:pt>
                <c:pt idx="9">
                  <c:v>20.7</c:v>
                </c:pt>
                <c:pt idx="10">
                  <c:v>22</c:v>
                </c:pt>
                <c:pt idx="11">
                  <c:v>17.7</c:v>
                </c:pt>
                <c:pt idx="12">
                  <c:v>12.9</c:v>
                </c:pt>
                <c:pt idx="13">
                  <c:v>16.399999999999999</c:v>
                </c:pt>
                <c:pt idx="14">
                  <c:v>21.8</c:v>
                </c:pt>
                <c:pt idx="15">
                  <c:v>25</c:v>
                </c:pt>
                <c:pt idx="16">
                  <c:v>20.8</c:v>
                </c:pt>
                <c:pt idx="17">
                  <c:v>21.3</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Selby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18.099999999999994</c:v>
                </c:pt>
                <c:pt idx="1">
                  <c:v>29.1</c:v>
                </c:pt>
                <c:pt idx="2">
                  <c:v>34.9</c:v>
                </c:pt>
                <c:pt idx="3">
                  <c:v>24.799999999999997</c:v>
                </c:pt>
                <c:pt idx="4">
                  <c:v>22.600000000000009</c:v>
                </c:pt>
                <c:pt idx="5">
                  <c:v>41.500000000000007</c:v>
                </c:pt>
                <c:pt idx="6">
                  <c:v>38</c:v>
                </c:pt>
                <c:pt idx="7">
                  <c:v>16.5</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Selby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17.111840365622861</c:v>
                </c:pt>
                <c:pt idx="1">
                  <c:v>14.297961380767937</c:v>
                </c:pt>
                <c:pt idx="2">
                  <c:v>0</c:v>
                </c:pt>
                <c:pt idx="3">
                  <c:v>15.927545284197381</c:v>
                </c:pt>
                <c:pt idx="4">
                  <c:v>5.6944824689315672</c:v>
                </c:pt>
                <c:pt idx="5">
                  <c:v>0</c:v>
                </c:pt>
                <c:pt idx="6">
                  <c:v>0</c:v>
                </c:pt>
                <c:pt idx="7">
                  <c:v>21.118526280955269</c:v>
                </c:pt>
                <c:pt idx="8">
                  <c:v>18.128770645831274</c:v>
                </c:pt>
                <c:pt idx="9">
                  <c:v>15.467324290998766</c:v>
                </c:pt>
                <c:pt idx="10">
                  <c:v>0</c:v>
                </c:pt>
                <c:pt idx="11">
                  <c:v>0</c:v>
                </c:pt>
                <c:pt idx="12">
                  <c:v>0</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Selby</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50.1</c:v>
                </c:pt>
                <c:pt idx="1">
                  <c:v>51.1</c:v>
                </c:pt>
                <c:pt idx="2">
                  <c:v>57.8</c:v>
                </c:pt>
                <c:pt idx="3">
                  <c:v>44.900000000000006</c:v>
                </c:pt>
                <c:pt idx="4">
                  <c:v>52.599999999999994</c:v>
                </c:pt>
                <c:pt idx="5">
                  <c:v>58.899999999999991</c:v>
                </c:pt>
                <c:pt idx="6">
                  <c:v>52.7</c:v>
                </c:pt>
                <c:pt idx="7">
                  <c:v>56.6</c:v>
                </c:pt>
                <c:pt idx="8">
                  <c:v>56.099999999999994</c:v>
                </c:pt>
                <c:pt idx="9">
                  <c:v>64.199999999999989</c:v>
                </c:pt>
                <c:pt idx="10">
                  <c:v>61.5</c:v>
                </c:pt>
                <c:pt idx="11">
                  <c:v>58.400000000000006</c:v>
                </c:pt>
                <c:pt idx="12">
                  <c:v>51.300000000000004</c:v>
                </c:pt>
                <c:pt idx="13">
                  <c:v>47.8</c:v>
                </c:pt>
                <c:pt idx="14">
                  <c:v>52.300000000000004</c:v>
                </c:pt>
                <c:pt idx="15">
                  <c:v>51.899999999999991</c:v>
                </c:pt>
                <c:pt idx="16">
                  <c:v>48.300000000000004</c:v>
                </c:pt>
                <c:pt idx="17">
                  <c:v>56.8</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Selby from 2004 to 2021 follows the rural and England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in Selby increases from 2004 to 2019 at approximately the same rate and along the line as that seen for England.</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Between 2017 and 2018 the proportion for Selby drops from being greater than that seen in 'Rural as a Region', to being below.  It does however remain above the England situation.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Selby's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Selby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Where data is available, the proportion for Selby is generally greater than the rural situation.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proportion for Selby does not show a consistent pattern and has therefore been greater in years and lower in other years than the rural and England situations.</a:t>
          </a:r>
          <a:endParaRPr lang="en-GB" sz="1100">
            <a:latin typeface="Avenir Next LT Pro" panose="020B0504020202020204" pitchFamily="34" charset="0"/>
          </a:endParaRPr>
        </a:p>
      </xdr:txBody>
    </xdr:sp>
    <xdr:clientData/>
  </xdr:twoCellAnchor>
  <xdr:twoCellAnchor>
    <xdr:from>
      <xdr:col>0</xdr:col>
      <xdr:colOff>601980</xdr:colOff>
      <xdr:row>21</xdr:row>
      <xdr:rowOff>7620</xdr:rowOff>
    </xdr:from>
    <xdr:to>
      <xdr:col>1</xdr:col>
      <xdr:colOff>2583180</xdr:colOff>
      <xdr:row>22</xdr:row>
      <xdr:rowOff>182880</xdr:rowOff>
    </xdr:to>
    <xdr:sp macro="" textlink="">
      <xdr:nvSpPr>
        <xdr:cNvPr id="20" name="TextBox 19">
          <a:extLst>
            <a:ext uri="{FF2B5EF4-FFF2-40B4-BE49-F238E27FC236}">
              <a16:creationId xmlns:a16="http://schemas.microsoft.com/office/drawing/2014/main" id="{46A3B7DE-80C7-4A53-985F-1F45712EE3E2}"/>
            </a:ext>
          </a:extLst>
        </xdr:cNvPr>
        <xdr:cNvSpPr txBox="1"/>
      </xdr:nvSpPr>
      <xdr:spPr>
        <a:xfrm>
          <a:off x="601980" y="75819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Selby has fluctauted a little over the years, but its general rate of increase is below that seen for either England or rural thus dropping it below the England overall situation.</a:t>
          </a:r>
          <a:endParaRPr lang="en-GB" sz="1100">
            <a:latin typeface="Avenir Next LT Pro" panose="020B0504020202020204" pitchFamily="34" charset="0"/>
          </a:endParaRPr>
        </a:p>
      </xdr:txBody>
    </xdr:sp>
    <xdr:clientData/>
  </xdr:twoCellAnchor>
  <xdr:twoCellAnchor>
    <xdr:from>
      <xdr:col>0</xdr:col>
      <xdr:colOff>594360</xdr:colOff>
      <xdr:row>12</xdr:row>
      <xdr:rowOff>495300</xdr:rowOff>
    </xdr:from>
    <xdr:to>
      <xdr:col>1</xdr:col>
      <xdr:colOff>2575560</xdr:colOff>
      <xdr:row>14</xdr:row>
      <xdr:rowOff>289560</xdr:rowOff>
    </xdr:to>
    <xdr:sp macro="" textlink="">
      <xdr:nvSpPr>
        <xdr:cNvPr id="21" name="TextBox 20">
          <a:extLst>
            <a:ext uri="{FF2B5EF4-FFF2-40B4-BE49-F238E27FC236}">
              <a16:creationId xmlns:a16="http://schemas.microsoft.com/office/drawing/2014/main" id="{32A99EBE-800C-4E4B-A1FC-90879FB73C09}"/>
            </a:ext>
          </a:extLst>
        </xdr:cNvPr>
        <xdr:cNvSpPr txBox="1"/>
      </xdr:nvSpPr>
      <xdr:spPr>
        <a:xfrm>
          <a:off x="594360" y="3482340"/>
          <a:ext cx="6682740" cy="10896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Selby was 38% greater than the rural situation in 2004, however due to no long term increase to 2019, the GVA per hour worked for Selby drops below the level seen for England and its gap to rural reduced to 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294</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Selby</v>
      </c>
      <c r="G12" s="88" t="str">
        <f>IFERROR(VLOOKUP(F12,GVA!B244:B552,1,FALSE),VLOOKUP(F12,GVA!B6:C230,2,FALSE))</f>
        <v>Selby</v>
      </c>
      <c r="H12" s="89" t="str">
        <f>IF(F12=G12,"",G12)</f>
        <v/>
      </c>
      <c r="I12" s="76">
        <f>IFERROR(VLOOKUP($F12,GVA!$B$7:$S$230,GVA!D$3,FALSE),VLOOKUP($F12,GVA!$B$244:$T$554,GVA!E$3,FALSE))</f>
        <v>32.49</v>
      </c>
      <c r="J12" s="77">
        <f>IFERROR(VLOOKUP($F12,GVA!$B$7:$S$230,GVA!E$3,FALSE),VLOOKUP($F12,GVA!$B$244:$T$554,GVA!F$3,FALSE))</f>
        <v>32.33</v>
      </c>
      <c r="K12" s="77">
        <f>IFERROR(VLOOKUP($F12,GVA!$B$7:$S$230,GVA!F$3,FALSE),VLOOKUP($F12,GVA!$B$244:$T$554,GVA!G$3,FALSE))</f>
        <v>33.54</v>
      </c>
      <c r="L12" s="77">
        <f>IFERROR(VLOOKUP($F12,GVA!$B$7:$S$230,GVA!G$3,FALSE),VLOOKUP($F12,GVA!$B$244:$T$554,GVA!H$3,FALSE))</f>
        <v>34.31</v>
      </c>
      <c r="M12" s="77">
        <f>IFERROR(VLOOKUP($F12,GVA!$B$7:$S$230,GVA!H$3,FALSE),VLOOKUP($F12,GVA!$B$244:$T$554,GVA!I$3,FALSE))</f>
        <v>34.729999999999997</v>
      </c>
      <c r="N12" s="77">
        <f>IFERROR(VLOOKUP($F12,GVA!$B$7:$S$230,GVA!I$3,FALSE),VLOOKUP($F12,GVA!$B$244:$T$554,GVA!J$3,FALSE))</f>
        <v>34.950000000000003</v>
      </c>
      <c r="O12" s="77">
        <f>IFERROR(VLOOKUP($F12,GVA!$B$7:$S$230,GVA!J$3,FALSE),VLOOKUP($F12,GVA!$B$244:$T$554,GVA!K$3,FALSE))</f>
        <v>33.65</v>
      </c>
      <c r="P12" s="77">
        <f>IFERROR(VLOOKUP($F12,GVA!$B$7:$S$230,GVA!K$3,FALSE),VLOOKUP($F12,GVA!$B$244:$T$554,GVA!L$3,FALSE))</f>
        <v>32.42</v>
      </c>
      <c r="Q12" s="77">
        <f>IFERROR(VLOOKUP($F12,GVA!$B$7:$S$230,GVA!L$3,FALSE),VLOOKUP($F12,GVA!$B$244:$T$554,GVA!M$3,FALSE))</f>
        <v>31.12</v>
      </c>
      <c r="R12" s="77">
        <f>IFERROR(VLOOKUP($F12,GVA!$B$7:$S$230,GVA!M$3,FALSE),VLOOKUP($F12,GVA!$B$244:$T$554,GVA!N$3,FALSE))</f>
        <v>31.21</v>
      </c>
      <c r="S12" s="77">
        <f>IFERROR(VLOOKUP($F12,GVA!$B$7:$S$230,GVA!N$3,FALSE),VLOOKUP($F12,GVA!$B$244:$T$554,GVA!O$3,FALSE))</f>
        <v>31.41</v>
      </c>
      <c r="T12" s="77">
        <f>IFERROR(VLOOKUP($F12,GVA!$B$7:$S$230,GVA!O$3,FALSE),VLOOKUP($F12,GVA!$B$244:$T$554,GVA!P$3,FALSE))</f>
        <v>31.88</v>
      </c>
      <c r="U12" s="77">
        <f>IFERROR(VLOOKUP($F12,GVA!$B$7:$S$230,GVA!P$3,FALSE),VLOOKUP($F12,GVA!$B$244:$T$554,GVA!Q$3,FALSE))</f>
        <v>32</v>
      </c>
      <c r="V12" s="77">
        <f>IFERROR(VLOOKUP($F12,GVA!$B$7:$S$230,GVA!Q$3,FALSE),VLOOKUP($F12,GVA!$B$244:$T$554,GVA!R$3,FALSE))</f>
        <v>32.53</v>
      </c>
      <c r="W12" s="77">
        <f>IFERROR(VLOOKUP($F12,GVA!$B$7:$S$230,GVA!R$3,FALSE),VLOOKUP($F12,GVA!$B$244:$T$554,GVA!S$3,FALSE))</f>
        <v>32.840000000000003</v>
      </c>
      <c r="X12" s="77">
        <f>IFERROR(VLOOKUP($F12,GVA!$B$7:$S$230,GVA!S$3,FALSE),VLOOKUP($F12,GVA!$B$244:$T$554,GVA!T$3,FALSE))</f>
        <v>33.21</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Selby to Rural as a Region</v>
      </c>
      <c r="G15" s="122"/>
      <c r="H15" s="123"/>
      <c r="I15" s="74">
        <f>100*((I12-I13)/I13)</f>
        <v>38.019692824307107</v>
      </c>
      <c r="J15" s="74">
        <f t="shared" ref="J15:X15" si="0">100*((J12-J13)/J13)</f>
        <v>37.722376615209839</v>
      </c>
      <c r="K15" s="74">
        <f t="shared" si="0"/>
        <v>38.002380567515459</v>
      </c>
      <c r="L15" s="74">
        <f t="shared" si="0"/>
        <v>38.131937654569484</v>
      </c>
      <c r="M15" s="74">
        <f t="shared" si="0"/>
        <v>37.464836516305972</v>
      </c>
      <c r="N15" s="74">
        <f t="shared" si="0"/>
        <v>37.205509157783069</v>
      </c>
      <c r="O15" s="74">
        <f t="shared" si="0"/>
        <v>30.476326758586978</v>
      </c>
      <c r="P15" s="74">
        <f t="shared" si="0"/>
        <v>23.860333747219936</v>
      </c>
      <c r="Q15" s="74">
        <f t="shared" si="0"/>
        <v>16.507554485893824</v>
      </c>
      <c r="R15" s="74">
        <f t="shared" si="0"/>
        <v>14.852734369866031</v>
      </c>
      <c r="S15" s="74">
        <f t="shared" si="0"/>
        <v>13.702827444440096</v>
      </c>
      <c r="T15" s="74">
        <f t="shared" si="0"/>
        <v>13.25810762802187</v>
      </c>
      <c r="U15" s="74">
        <f t="shared" si="0"/>
        <v>10.96845573027402</v>
      </c>
      <c r="V15" s="74">
        <f t="shared" si="0"/>
        <v>9.8213532142354918</v>
      </c>
      <c r="W15" s="74">
        <f t="shared" si="0"/>
        <v>8.6179809346810874</v>
      </c>
      <c r="X15" s="74">
        <f t="shared" si="0"/>
        <v>8.7023781226741743</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Selby</v>
      </c>
      <c r="G20" s="88"/>
      <c r="H20" s="89"/>
      <c r="I20" s="80">
        <f>IF(VLOOKUP($F20,PAY!$A$11:$AE$349,4,FALSE)="-",#N/A,VLOOKUP($F20,PAY!$A$11:$AE$349,4,FALSE))</f>
        <v>513.9</v>
      </c>
      <c r="J20" s="80">
        <f>IF(VLOOKUP($F20,PAY!$A$11:$AE$349,6,FALSE)="-",#N/A,VLOOKUP($F20,PAY!$A$11:$AE$349,6,FALSE))</f>
        <v>500.3</v>
      </c>
      <c r="K20" s="80">
        <f>IF(VLOOKUP($F20,PAY!$A$11:$AE$349,8,FALSE)="-",#N/A,VLOOKUP($F20,PAY!$A$11:$AE$349,8,FALSE))</f>
        <v>537.70000000000005</v>
      </c>
      <c r="L20" s="80">
        <f>IF(VLOOKUP($F20,PAY!$A$11:$AE$349,10,FALSE)="-",#N/A,VLOOKUP($F20,PAY!$A$11:$AE$349,10,FALSE))</f>
        <v>482.8</v>
      </c>
      <c r="M20" s="80">
        <f>IF(VLOOKUP($F20,PAY!$A$11:$AE$349,12,FALSE)="-",#N/A,VLOOKUP($F20,PAY!$A$11:$AE$349,12,FALSE))</f>
        <v>511.7</v>
      </c>
      <c r="N20" s="80">
        <f>IF(VLOOKUP($F20,PAY!$A$11:$AE$349,14,FALSE)="-",#N/A,VLOOKUP($F20,PAY!$A$11:$AE$349,14,FALSE))</f>
        <v>514.70000000000005</v>
      </c>
      <c r="O20" s="80">
        <f>IF(VLOOKUP($F20,PAY!$A$11:$AE$349,16,FALSE)="-",#N/A,VLOOKUP($F20,PAY!$A$11:$AE$349,16,FALSE))</f>
        <v>517.1</v>
      </c>
      <c r="P20" s="80">
        <f>IF(VLOOKUP($F20,PAY!$A$11:$AE$349,18,FALSE)="-",#N/A,VLOOKUP($F20,PAY!$A$11:$AE$349,18,FALSE))</f>
        <v>519.79999999999995</v>
      </c>
      <c r="Q20" s="80">
        <f>IF(VLOOKUP($F20,PAY!$A$11:$AE$349,20,FALSE)="-",#N/A,VLOOKUP($F20,PAY!$A$11:$AE$349,20,FALSE))</f>
        <v>501.6</v>
      </c>
      <c r="R20" s="80">
        <f>IF(VLOOKUP($F20,PAY!$A$11:$AE$349,22,FALSE)="-",#N/A,VLOOKUP($F20,PAY!$A$11:$AE$349,22,FALSE))</f>
        <v>552</v>
      </c>
      <c r="S20" s="80">
        <f>IF(VLOOKUP($F20,PAY!$A$11:$AE$349,24,FALSE)="-",#N/A,VLOOKUP($F20,PAY!$A$11:$AE$349,24,FALSE))</f>
        <v>536.6</v>
      </c>
      <c r="T20" s="80">
        <f>IF(VLOOKUP($F20,PAY!$A$11:$AE$349,26,FALSE)="-",#N/A,VLOOKUP($F20,PAY!$A$11:$AE$349,26,FALSE))</f>
        <v>578.9</v>
      </c>
      <c r="U20" s="80">
        <f>IF(VLOOKUP($F20,PAY!$A$11:$AE$349,28,FALSE)="-",#N/A,VLOOKUP($F20,PAY!$A$11:$AE$349,28,FALSE))</f>
        <v>544.70000000000005</v>
      </c>
      <c r="V20" s="80">
        <f>IF(VLOOKUP($F20,PAY!$A$11:$AE$349,30,FALSE)="-",#N/A,VLOOKUP($F20,PAY!$A$11:$AE$349,30,FALSE))</f>
        <v>596</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Selby to Rural as a Region</v>
      </c>
      <c r="G23" s="122"/>
      <c r="H23" s="123"/>
      <c r="I23" s="74">
        <f>100*((I20-I21)/I21)</f>
        <v>18.685684550259598</v>
      </c>
      <c r="J23" s="74">
        <f t="shared" ref="J23:V23" si="2">100*((J20-J21)/J21)</f>
        <v>14.504777707844596</v>
      </c>
      <c r="K23" s="74">
        <f t="shared" si="2"/>
        <v>19.992147092305544</v>
      </c>
      <c r="L23" s="74">
        <f t="shared" si="2"/>
        <v>7.1333872634937983</v>
      </c>
      <c r="M23" s="74">
        <f t="shared" si="2"/>
        <v>12.401499268717208</v>
      </c>
      <c r="N23" s="74">
        <f t="shared" si="2"/>
        <v>11.124988384995065</v>
      </c>
      <c r="O23" s="74">
        <f t="shared" si="2"/>
        <v>9.8337339420434855</v>
      </c>
      <c r="P23" s="74">
        <f t="shared" si="2"/>
        <v>9.4727132646777203</v>
      </c>
      <c r="Q23" s="74">
        <f t="shared" si="2"/>
        <v>2.4756200687370469</v>
      </c>
      <c r="R23" s="74">
        <f t="shared" si="2"/>
        <v>9.5114325535842443</v>
      </c>
      <c r="S23" s="74">
        <f t="shared" si="2"/>
        <v>4.3105144501682098</v>
      </c>
      <c r="T23" s="74">
        <f t="shared" si="2"/>
        <v>8.4694193934067563</v>
      </c>
      <c r="U23" s="74">
        <f t="shared" si="2"/>
        <v>2.5707284978560727</v>
      </c>
      <c r="V23" s="74">
        <f t="shared" si="2"/>
        <v>5.626149027076969</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Selby</v>
      </c>
      <c r="G28" s="88"/>
      <c r="H28" s="89"/>
      <c r="I28" s="76">
        <f>VLOOKUP($F28,EMPLOYMENT!$A$6:$BW$345,6,FALSE)</f>
        <v>73.099999999999994</v>
      </c>
      <c r="J28" s="77">
        <f>VLOOKUP($F28,EMPLOYMENT!$A$6:$BW$345,10,FALSE)</f>
        <v>75.3</v>
      </c>
      <c r="K28" s="77">
        <f>VLOOKUP($F28,EMPLOYMENT!$A$6:$BW$345,14,FALSE)</f>
        <v>69.5</v>
      </c>
      <c r="L28" s="77">
        <f>VLOOKUP($F28,EMPLOYMENT!$A$6:$BW$345,18,FALSE)</f>
        <v>73.3</v>
      </c>
      <c r="M28" s="77">
        <f>VLOOKUP($F28,EMPLOYMENT!$A$6:$BW$345,22,FALSE)</f>
        <v>79.900000000000006</v>
      </c>
      <c r="N28" s="77">
        <f>VLOOKUP($F28,EMPLOYMENT!$A$6:$BW$345,26,FALSE)</f>
        <v>66</v>
      </c>
      <c r="O28" s="77">
        <f>VLOOKUP($F28,EMPLOYMENT!$A$6:$BW$345,30,FALSE)</f>
        <v>76.099999999999994</v>
      </c>
      <c r="P28" s="77">
        <f>VLOOKUP($F28,EMPLOYMENT!$A$6:$BW$345,34,FALSE)</f>
        <v>73.3</v>
      </c>
      <c r="Q28" s="77">
        <f>VLOOKUP($F28,EMPLOYMENT!$A$6:$BW$345,38,FALSE)</f>
        <v>80.3</v>
      </c>
      <c r="R28" s="77">
        <f>VLOOKUP($F28,EMPLOYMENT!$A$6:$BW$345,42,FALSE)</f>
        <v>76.099999999999994</v>
      </c>
      <c r="S28" s="77">
        <f>VLOOKUP($F28,EMPLOYMENT!$A$6:$BW$345,46,FALSE)</f>
        <v>73.2</v>
      </c>
      <c r="T28" s="77">
        <f>VLOOKUP($F28,EMPLOYMENT!$A$6:$BW$345,50,FALSE)</f>
        <v>79.8</v>
      </c>
      <c r="U28" s="77">
        <f>VLOOKUP($F28,EMPLOYMENT!$A$6:$BW$345,54,FALSE)</f>
        <v>83.7</v>
      </c>
      <c r="V28" s="77">
        <f>VLOOKUP($F28,EMPLOYMENT!$A$6:$BW$345,58,FALSE)</f>
        <v>78.8</v>
      </c>
      <c r="W28" s="77">
        <f>VLOOKUP($F28,EMPLOYMENT!$A$6:$BW$345,62,FALSE)</f>
        <v>77</v>
      </c>
      <c r="X28" s="77">
        <f>VLOOKUP($F28,EMPLOYMENT!$A$6:$BW$345,66,FALSE)</f>
        <v>71.3</v>
      </c>
      <c r="Y28" s="77">
        <f>VLOOKUP($F28,EMPLOYMENT!$A$6:$BW$345,70,FALSE)</f>
        <v>78.3</v>
      </c>
      <c r="Z28" s="77">
        <f>VLOOKUP($F28,EMPLOYMENT!$A$6:$BW$345,74,FALSE)</f>
        <v>76.400000000000006</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Selby to Rural as a Region</v>
      </c>
      <c r="G31" s="122"/>
      <c r="H31" s="123"/>
      <c r="I31" s="74">
        <f>(I28-I29)</f>
        <v>-3.0113419194017439</v>
      </c>
      <c r="J31" s="74">
        <f t="shared" ref="J31:Z31" si="4">(J28-J29)</f>
        <v>-1.0129754666829598</v>
      </c>
      <c r="K31" s="74">
        <f t="shared" si="4"/>
        <v>-6.3731888994867631</v>
      </c>
      <c r="L31" s="74">
        <f t="shared" si="4"/>
        <v>-2.3404683026278406</v>
      </c>
      <c r="M31" s="74">
        <f t="shared" si="4"/>
        <v>4.1644756266682634</v>
      </c>
      <c r="N31" s="74">
        <f t="shared" si="4"/>
        <v>-8.5095398428731812</v>
      </c>
      <c r="O31" s="74">
        <f t="shared" si="4"/>
        <v>2.5528668610301253</v>
      </c>
      <c r="P31" s="74">
        <f t="shared" si="4"/>
        <v>-0.43429540327761629</v>
      </c>
      <c r="Q31" s="74">
        <f t="shared" si="4"/>
        <v>6.2668425245374237</v>
      </c>
      <c r="R31" s="74">
        <f t="shared" si="4"/>
        <v>1.3555250700997874</v>
      </c>
      <c r="S31" s="74">
        <f t="shared" si="4"/>
        <v>-2.9088603400756057</v>
      </c>
      <c r="T31" s="74">
        <f t="shared" si="4"/>
        <v>2.6094680243909778</v>
      </c>
      <c r="U31" s="74">
        <f t="shared" si="4"/>
        <v>6.7283675182919609</v>
      </c>
      <c r="V31" s="74">
        <f t="shared" si="4"/>
        <v>0.76721311475409948</v>
      </c>
      <c r="W31" s="74">
        <f t="shared" si="4"/>
        <v>-1.048156893414145</v>
      </c>
      <c r="X31" s="74">
        <f t="shared" si="4"/>
        <v>-7.2912993789567082</v>
      </c>
      <c r="Y31" s="74">
        <f t="shared" si="4"/>
        <v>1.2856537038707927</v>
      </c>
      <c r="Z31" s="74">
        <f t="shared" si="4"/>
        <v>0.2442419221209633</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Selby</v>
      </c>
      <c r="G36" s="88" t="str">
        <f>IFERROR(VLOOKUP(F36,GDHI!B338:C574,2,FALSE),VLOOKUP(F36,GDHI!C3:C336,1,FALSE))</f>
        <v>Selby</v>
      </c>
      <c r="H36" s="89" t="str">
        <f>IF(F36=G36,"",G36)</f>
        <v/>
      </c>
      <c r="I36" s="83">
        <f>IFERROR(VLOOKUP($F36,GDHI!$B$338:$U$574,GDHI!G$578,FALSE),VLOOKUP($F36,GDHI!$C$3:$U$336,GDHI!F$578,FALSE))</f>
        <v>13896</v>
      </c>
      <c r="J36" s="84">
        <f>IFERROR(VLOOKUP($F36,GDHI!$B$338:$U$574,GDHI!H$578,FALSE),VLOOKUP($F36,GDHI!$C$3:$U$336,GDHI!G$578,FALSE))</f>
        <v>14776</v>
      </c>
      <c r="K36" s="84">
        <f>IFERROR(VLOOKUP($F36,GDHI!$B$338:$U$574,GDHI!I$578,FALSE),VLOOKUP($F36,GDHI!$C$3:$U$336,GDHI!H$578,FALSE))</f>
        <v>15578</v>
      </c>
      <c r="L36" s="84">
        <f>IFERROR(VLOOKUP($F36,GDHI!$B$338:$U$574,GDHI!J$578,FALSE),VLOOKUP($F36,GDHI!$C$3:$U$336,GDHI!I$578,FALSE))</f>
        <v>15825</v>
      </c>
      <c r="M36" s="84">
        <f>IFERROR(VLOOKUP($F36,GDHI!$B$338:$U$574,GDHI!K$578,FALSE),VLOOKUP($F36,GDHI!$C$3:$U$336,GDHI!J$578,FALSE))</f>
        <v>16021</v>
      </c>
      <c r="N36" s="84">
        <f>IFERROR(VLOOKUP($F36,GDHI!$B$338:$U$574,GDHI!L$578,FALSE),VLOOKUP($F36,GDHI!$C$3:$U$336,GDHI!K$578,FALSE))</f>
        <v>17150</v>
      </c>
      <c r="O36" s="84">
        <f>IFERROR(VLOOKUP($F36,GDHI!$B$338:$U$574,GDHI!M$578,FALSE),VLOOKUP($F36,GDHI!$C$3:$U$336,GDHI!L$578,FALSE))</f>
        <v>16746</v>
      </c>
      <c r="P36" s="84">
        <f>IFERROR(VLOOKUP($F36,GDHI!$B$338:$U$574,GDHI!N$578,FALSE),VLOOKUP($F36,GDHI!$C$3:$U$336,GDHI!M$578,FALSE))</f>
        <v>17215</v>
      </c>
      <c r="Q36" s="84">
        <f>IFERROR(VLOOKUP($F36,GDHI!$B$338:$U$574,GDHI!O$578,FALSE),VLOOKUP($F36,GDHI!$C$3:$U$336,GDHI!N$578,FALSE))</f>
        <v>17936</v>
      </c>
      <c r="R36" s="84">
        <f>IFERROR(VLOOKUP($F36,GDHI!$B$338:$U$574,GDHI!P$578,FALSE),VLOOKUP($F36,GDHI!$C$3:$U$336,GDHI!O$578,FALSE))</f>
        <v>18272</v>
      </c>
      <c r="S36" s="84">
        <f>IFERROR(VLOOKUP($F36,GDHI!$B$338:$U$574,GDHI!Q$578,FALSE),VLOOKUP($F36,GDHI!$C$3:$U$336,GDHI!P$578,FALSE))</f>
        <v>18208</v>
      </c>
      <c r="T36" s="84">
        <f>IFERROR(VLOOKUP($F36,GDHI!$B$338:$U$574,GDHI!R$578,FALSE),VLOOKUP($F36,GDHI!$C$3:$U$336,GDHI!Q$578,FALSE))</f>
        <v>19281</v>
      </c>
      <c r="U36" s="84">
        <f>IFERROR(VLOOKUP($F36,GDHI!$B$338:$U$574,GDHI!S$578,FALSE),VLOOKUP($F36,GDHI!$C$3:$U$336,GDHI!R$578,FALSE))</f>
        <v>19444</v>
      </c>
      <c r="V36" s="84">
        <f>IFERROR(VLOOKUP($F36,GDHI!$B$338:$U$574,GDHI!T$578,FALSE),VLOOKUP($F36,GDHI!$C$3:$U$336,GDHI!S$578,FALSE))</f>
        <v>20015</v>
      </c>
      <c r="W36" s="84">
        <f>IFERROR(VLOOKUP($F36,GDHI!$B$338:$U$574,GDHI!U$578,FALSE),VLOOKUP($F36,GDHI!$C$3:$U$336,GDHI!T$578,FALSE))</f>
        <v>21125</v>
      </c>
      <c r="X36" s="84">
        <f>IFERROR(VLOOKUP($F36,GDHI!$B$338:$U$574,GDHI!V$578,FALSE),VLOOKUP($F36,GDHI!$C$3:$U$336,GDHI!U$578,FALSE))</f>
        <v>21994</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Selby to Rural as a Region</v>
      </c>
      <c r="G39" s="122"/>
      <c r="H39" s="123"/>
      <c r="I39" s="74">
        <f>100*((I36-I37)/I37)</f>
        <v>-5.5304395118800773</v>
      </c>
      <c r="J39" s="74">
        <f t="shared" ref="J39:X39" si="6">100*((J36-J37)/J37)</f>
        <v>-3.6857065480130515</v>
      </c>
      <c r="K39" s="74">
        <f t="shared" si="6"/>
        <v>-2.1739179190673612</v>
      </c>
      <c r="L39" s="74">
        <f t="shared" si="6"/>
        <v>-4.485577990511076</v>
      </c>
      <c r="M39" s="74">
        <f t="shared" si="6"/>
        <v>-6.1088114821292807</v>
      </c>
      <c r="N39" s="74">
        <f t="shared" si="6"/>
        <v>-0.82644628099174255</v>
      </c>
      <c r="O39" s="74">
        <f t="shared" si="6"/>
        <v>-4.3518408339084766</v>
      </c>
      <c r="P39" s="74">
        <f t="shared" si="6"/>
        <v>-3.2867755837999328</v>
      </c>
      <c r="Q39" s="74">
        <f t="shared" si="6"/>
        <v>-2.3431818270206701</v>
      </c>
      <c r="R39" s="74">
        <f t="shared" si="6"/>
        <v>-3.1892676410091809</v>
      </c>
      <c r="S39" s="74">
        <f t="shared" si="6"/>
        <v>-6.12514707534124</v>
      </c>
      <c r="T39" s="74">
        <f t="shared" si="6"/>
        <v>-5.7548958336970149</v>
      </c>
      <c r="U39" s="74">
        <f t="shared" si="6"/>
        <v>-5.7256252842726036</v>
      </c>
      <c r="V39" s="74">
        <f t="shared" si="6"/>
        <v>-4.5335843884024829</v>
      </c>
      <c r="W39" s="74">
        <f t="shared" si="6"/>
        <v>-3.2821392715392852</v>
      </c>
      <c r="X39" s="74">
        <f t="shared" si="6"/>
        <v>-1.2177379641773916</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Selby</v>
      </c>
      <c r="G44" s="88"/>
      <c r="H44" s="89"/>
      <c r="I44" s="76">
        <f>VLOOKUP($F44,'LOW PAID'!$A$9:$N$444,6,FALSE)</f>
        <v>26.8</v>
      </c>
      <c r="J44" s="77">
        <f>VLOOKUP($F44,'LOW PAID'!$P$9:$W$444,6,FALSE)</f>
        <v>24.4</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Selby to Rural as a Region</v>
      </c>
      <c r="G47" s="122"/>
      <c r="H47" s="123"/>
      <c r="I47" s="74">
        <f>(I44-I45)</f>
        <v>1.6061253217868838</v>
      </c>
      <c r="J47" s="74">
        <f>(J44-J45)</f>
        <v>-1.2861165090300553</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Selby</v>
      </c>
      <c r="G52" s="88"/>
      <c r="H52" s="89"/>
      <c r="I52" s="76">
        <f>VLOOKUP($F52,INACTIVITY!$A$6:$BW$345,6,FALSE)</f>
        <v>24.3</v>
      </c>
      <c r="J52" s="77">
        <f>VLOOKUP($F52,INACTIVITY!$A$6:$BW$345,10,FALSE)</f>
        <v>22.5</v>
      </c>
      <c r="K52" s="77">
        <f>VLOOKUP($F52,INACTIVITY!$A$6:$BW$345,14,FALSE)</f>
        <v>24.6</v>
      </c>
      <c r="L52" s="77">
        <f>VLOOKUP($F52,INACTIVITY!$A$6:$BW$345,18,FALSE)</f>
        <v>22.6</v>
      </c>
      <c r="M52" s="77">
        <f>VLOOKUP($F52,INACTIVITY!$A$6:$BW$345,22,FALSE)</f>
        <v>16.2</v>
      </c>
      <c r="N52" s="77">
        <f>VLOOKUP($F52,INACTIVITY!$A$6:$BW$345,26,FALSE)</f>
        <v>28.4</v>
      </c>
      <c r="O52" s="77">
        <f>VLOOKUP($F52,INACTIVITY!$A$6:$BW$345,30,FALSE)</f>
        <v>19.8</v>
      </c>
      <c r="P52" s="77">
        <f>VLOOKUP($F52,INACTIVITY!$A$6:$BW$345,34,FALSE)</f>
        <v>21.9</v>
      </c>
      <c r="Q52" s="77">
        <f>VLOOKUP($F52,INACTIVITY!$A$6:$BW$345,38,FALSE)</f>
        <v>16.600000000000001</v>
      </c>
      <c r="R52" s="77">
        <f>VLOOKUP($F52,INACTIVITY!$A$6:$BW$345,42,FALSE)</f>
        <v>20.7</v>
      </c>
      <c r="S52" s="77">
        <f>VLOOKUP($F52,INACTIVITY!$A$6:$BW$345,46,FALSE)</f>
        <v>22</v>
      </c>
      <c r="T52" s="77">
        <f>VLOOKUP($F52,INACTIVITY!$A$6:$BW$345,50,FALSE)</f>
        <v>17.7</v>
      </c>
      <c r="U52" s="77">
        <f>VLOOKUP($F52,INACTIVITY!$A$6:$BW$345,54,FALSE)</f>
        <v>12.9</v>
      </c>
      <c r="V52" s="77">
        <f>VLOOKUP($F52,INACTIVITY!$A$6:$BW$345,58,FALSE)</f>
        <v>16.399999999999999</v>
      </c>
      <c r="W52" s="77">
        <f>VLOOKUP($F52,INACTIVITY!$A$6:$BW$345,62,FALSE)</f>
        <v>21.8</v>
      </c>
      <c r="X52" s="77">
        <f>VLOOKUP($F52,INACTIVITY!$A$6:$BW$345,66,FALSE)</f>
        <v>25</v>
      </c>
      <c r="Y52" s="77">
        <f>VLOOKUP($F52,INACTIVITY!$A$6:$BW$345,70,FALSE)</f>
        <v>20.8</v>
      </c>
      <c r="Z52" s="77">
        <f>VLOOKUP($F52,INACTIVITY!$A$6:$BW$345,74,FALSE)</f>
        <v>21.3</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Selby to Rural as a Region</v>
      </c>
      <c r="G55" s="122"/>
      <c r="H55" s="123"/>
      <c r="I55" s="74">
        <f>(I52-I53)</f>
        <v>2.9043554283897635</v>
      </c>
      <c r="J55" s="74">
        <f t="shared" ref="J55:Z55" si="10">(J52-J53)</f>
        <v>1.4914772727272734</v>
      </c>
      <c r="K55" s="74">
        <f t="shared" si="10"/>
        <v>3.7375346065412245</v>
      </c>
      <c r="L55" s="74">
        <f t="shared" si="10"/>
        <v>1.2859346684633621</v>
      </c>
      <c r="M55" s="74">
        <f t="shared" si="10"/>
        <v>-4.6350023108920055</v>
      </c>
      <c r="N55" s="74">
        <f t="shared" si="10"/>
        <v>7.4668562420795581</v>
      </c>
      <c r="O55" s="74">
        <f t="shared" si="10"/>
        <v>-1.8919371275051731</v>
      </c>
      <c r="P55" s="74">
        <f t="shared" si="10"/>
        <v>0.40575421924654975</v>
      </c>
      <c r="Q55" s="74">
        <f t="shared" si="10"/>
        <v>-4.5825487944890924</v>
      </c>
      <c r="R55" s="74">
        <f t="shared" si="10"/>
        <v>-7.4593097438771849E-2</v>
      </c>
      <c r="S55" s="74">
        <f t="shared" si="10"/>
        <v>1.7267895440276</v>
      </c>
      <c r="T55" s="74">
        <f t="shared" si="10"/>
        <v>-1.9961946834069586</v>
      </c>
      <c r="U55" s="74">
        <f t="shared" si="10"/>
        <v>-6.9524293470694705</v>
      </c>
      <c r="V55" s="74">
        <f t="shared" si="10"/>
        <v>-2.8532773342803779</v>
      </c>
      <c r="W55" s="74">
        <f t="shared" si="10"/>
        <v>2.6230439908171519</v>
      </c>
      <c r="X55" s="74">
        <f t="shared" si="10"/>
        <v>6.1479350506350698</v>
      </c>
      <c r="Y55" s="74">
        <f t="shared" si="10"/>
        <v>1.0274172781285387</v>
      </c>
      <c r="Z55" s="74">
        <f t="shared" si="10"/>
        <v>0.2148202243699302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Selby</v>
      </c>
      <c r="G60" s="88"/>
      <c r="H60" s="89"/>
      <c r="I60" s="76">
        <f>VLOOKUP($F60,DISABILITY!$A$718:$I$1052,DISABILITY!B$1053,FALSE)</f>
        <v>18.099999999999994</v>
      </c>
      <c r="J60" s="77">
        <f>VLOOKUP($F60,DISABILITY!$A$718:$I$1052,DISABILITY!C$1053,FALSE)</f>
        <v>29.1</v>
      </c>
      <c r="K60" s="77">
        <f>VLOOKUP($F60,DISABILITY!$A$718:$I$1052,DISABILITY!D$1053,FALSE)</f>
        <v>34.9</v>
      </c>
      <c r="L60" s="77">
        <f>VLOOKUP($F60,DISABILITY!$A$718:$I$1052,DISABILITY!E$1053,FALSE)</f>
        <v>24.799999999999997</v>
      </c>
      <c r="M60" s="77">
        <f>VLOOKUP($F60,DISABILITY!$A$718:$I$1052,DISABILITY!F$1053,FALSE)</f>
        <v>22.600000000000009</v>
      </c>
      <c r="N60" s="77">
        <f>VLOOKUP($F60,DISABILITY!$A$718:$I$1052,DISABILITY!G$1053,FALSE)</f>
        <v>41.500000000000007</v>
      </c>
      <c r="O60" s="77">
        <f>VLOOKUP($F60,DISABILITY!$A$718:$I$1052,DISABILITY!H$1053,FALSE)</f>
        <v>38</v>
      </c>
      <c r="P60" s="77">
        <f>VLOOKUP($F60,DISABILITY!$A$718:$I$1052,DISABILITY!I$1053,FALSE)</f>
        <v>16.5</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Selby to Rural as a Region</v>
      </c>
      <c r="G63" s="122"/>
      <c r="H63" s="123"/>
      <c r="I63" s="74">
        <f>(I60-I61)</f>
        <v>-9.320156540647254</v>
      </c>
      <c r="J63" s="74">
        <f t="shared" ref="J63:P63" si="12">(J60-J61)</f>
        <v>1.7809555929488141</v>
      </c>
      <c r="K63" s="74">
        <f t="shared" si="12"/>
        <v>6.7808716385017931</v>
      </c>
      <c r="L63" s="74">
        <f t="shared" si="12"/>
        <v>-1.1909345389966788</v>
      </c>
      <c r="M63" s="74">
        <f t="shared" si="12"/>
        <v>-2.8752258186661095</v>
      </c>
      <c r="N63" s="74">
        <f t="shared" si="12"/>
        <v>15.968752314558024</v>
      </c>
      <c r="O63" s="74">
        <f t="shared" si="12"/>
        <v>14.202777712003055</v>
      </c>
      <c r="P63" s="74">
        <f t="shared" si="12"/>
        <v>-8.8541779303421748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Selby</v>
      </c>
      <c r="G68" s="88"/>
      <c r="H68" s="89"/>
      <c r="I68" s="76">
        <f>VLOOKUP($F68,'WORKLESS HOUSEHOLDS'!$DW$4:$EC$397,7,FALSE)</f>
        <v>17.111840365622861</v>
      </c>
      <c r="J68" s="77">
        <f>VLOOKUP($F68,'WORKLESS HOUSEHOLDS'!$DN$4:$DT$397,7,FALSE)</f>
        <v>14.297961380767937</v>
      </c>
      <c r="K68" s="77" t="str">
        <f>VLOOKUP($F68,'WORKLESS HOUSEHOLDS'!$DE$4:$DK$397,7,FALSE)</f>
        <v>*</v>
      </c>
      <c r="L68" s="77">
        <f>VLOOKUP($F68,'WORKLESS HOUSEHOLDS'!$CV$4:$DB$397,7,FALSE)</f>
        <v>15.927545284197381</v>
      </c>
      <c r="M68" s="77">
        <f>VLOOKUP($F68,'WORKLESS HOUSEHOLDS'!$CM$4:$CS$397,7,FALSE)</f>
        <v>5.6944824689315672</v>
      </c>
      <c r="N68" s="77" t="str">
        <f>VLOOKUP($F68,'WORKLESS HOUSEHOLDS'!$CD$4:$CJ$397,7,FALSE)</f>
        <v>*</v>
      </c>
      <c r="O68" s="77" t="str">
        <f>VLOOKUP($F68,'WORKLESS HOUSEHOLDS'!$BU$4:$CA$397,7,FALSE)</f>
        <v>#</v>
      </c>
      <c r="P68" s="77">
        <f>VLOOKUP($F68,'WORKLESS HOUSEHOLDS'!$BL$4:$BR$397,7,FALSE)</f>
        <v>21.118526280955269</v>
      </c>
      <c r="Q68" s="77">
        <f>VLOOKUP($F68,'WORKLESS HOUSEHOLDS'!$BC$4:$BI$397,7,FALSE)</f>
        <v>18.128770645831274</v>
      </c>
      <c r="R68" s="77">
        <f>VLOOKUP($F68,'WORKLESS HOUSEHOLDS'!$AT$4:$AZ$397,7,FALSE)</f>
        <v>15.467324290998766</v>
      </c>
      <c r="S68" s="77" t="str">
        <f>VLOOKUP($F68,'WORKLESS HOUSEHOLDS'!$AK$4:$AQ$397,7,FALSE)</f>
        <v>#</v>
      </c>
      <c r="T68" s="77" t="str">
        <f>VLOOKUP($F68,'WORKLESS HOUSEHOLDS'!$AB$4:$AH$397,7,FALSE)</f>
        <v>#</v>
      </c>
      <c r="U68" s="77" t="str">
        <f>VLOOKUP($F68,'WORKLESS HOUSEHOLDS'!$S$4:$Y$397,7,FALSE)</f>
        <v>#</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Selby to Rural as a Region</v>
      </c>
      <c r="G71" s="122"/>
      <c r="H71" s="123"/>
      <c r="I71" s="74">
        <f>(I68-I69)</f>
        <v>7.09989450303617</v>
      </c>
      <c r="J71" s="74">
        <f t="shared" ref="J71:W71" si="14">(J68-J69)</f>
        <v>3.3868065432929129</v>
      </c>
      <c r="K71" s="74" t="e">
        <f t="shared" si="14"/>
        <v>#VALUE!</v>
      </c>
      <c r="L71" s="74">
        <f t="shared" si="14"/>
        <v>4.9615386228676481</v>
      </c>
      <c r="M71" s="74">
        <f t="shared" si="14"/>
        <v>-5.9992967122569061</v>
      </c>
      <c r="N71" s="74" t="e">
        <f t="shared" si="14"/>
        <v>#VALUE!</v>
      </c>
      <c r="O71" s="74" t="e">
        <f t="shared" si="14"/>
        <v>#VALUE!</v>
      </c>
      <c r="P71" s="74">
        <f t="shared" si="14"/>
        <v>11.427028395187431</v>
      </c>
      <c r="Q71" s="74">
        <f t="shared" si="14"/>
        <v>7.3235923854328622</v>
      </c>
      <c r="R71" s="74">
        <f t="shared" si="14"/>
        <v>4.7612279672692122</v>
      </c>
      <c r="S71" s="74" t="e">
        <f t="shared" si="14"/>
        <v>#VALUE!</v>
      </c>
      <c r="T71" s="74" t="e">
        <f t="shared" si="14"/>
        <v>#VALUE!</v>
      </c>
      <c r="U71" s="74" t="e">
        <f t="shared" si="14"/>
        <v>#VALUE!</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Selby</v>
      </c>
      <c r="G76" s="88"/>
      <c r="H76" s="89"/>
      <c r="I76" s="76">
        <f>VLOOKUP($F76,'SKILLED EMPLOYMENT'!$A$1506:$BW$1841,6,FALSE)</f>
        <v>50.1</v>
      </c>
      <c r="J76" s="77">
        <f>VLOOKUP($F76,'SKILLED EMPLOYMENT'!$A$1506:$BW$1841,10,FALSE)</f>
        <v>51.1</v>
      </c>
      <c r="K76" s="77">
        <f>VLOOKUP($F76,'SKILLED EMPLOYMENT'!$A$1506:$BW$1841,14,FALSE)</f>
        <v>57.8</v>
      </c>
      <c r="L76" s="77">
        <f>VLOOKUP($F76,'SKILLED EMPLOYMENT'!$A$1506:$BW$1841,18,FALSE)</f>
        <v>44.900000000000006</v>
      </c>
      <c r="M76" s="77">
        <f>VLOOKUP($F76,'SKILLED EMPLOYMENT'!$A$1506:$BW$1841,22,FALSE)</f>
        <v>52.599999999999994</v>
      </c>
      <c r="N76" s="77">
        <f>VLOOKUP($F76,'SKILLED EMPLOYMENT'!$A$1506:$BW$1841,26,FALSE)</f>
        <v>58.899999999999991</v>
      </c>
      <c r="O76" s="77">
        <f>VLOOKUP($F76,'SKILLED EMPLOYMENT'!$A$1506:$BW$1841,30,FALSE)</f>
        <v>52.7</v>
      </c>
      <c r="P76" s="77">
        <f>VLOOKUP($F76,'SKILLED EMPLOYMENT'!$A$1506:$BW$1841,34,FALSE)</f>
        <v>56.6</v>
      </c>
      <c r="Q76" s="77">
        <f>VLOOKUP($F76,'SKILLED EMPLOYMENT'!$A$1506:$BW$1841,38,FALSE)</f>
        <v>56.099999999999994</v>
      </c>
      <c r="R76" s="77">
        <f>VLOOKUP($F76,'SKILLED EMPLOYMENT'!$A$1506:$BW$1841,42,FALSE)</f>
        <v>64.199999999999989</v>
      </c>
      <c r="S76" s="77">
        <f>VLOOKUP($F76,'SKILLED EMPLOYMENT'!$A$1506:$BW$1841,46,FALSE)</f>
        <v>61.5</v>
      </c>
      <c r="T76" s="77">
        <f>VLOOKUP($F76,'SKILLED EMPLOYMENT'!$A$1506:$BW$1841,50,FALSE)</f>
        <v>58.400000000000006</v>
      </c>
      <c r="U76" s="77">
        <f>VLOOKUP($F76,'SKILLED EMPLOYMENT'!$A$1506:$BW$1841,54,FALSE)</f>
        <v>51.300000000000004</v>
      </c>
      <c r="V76" s="77">
        <f>VLOOKUP($F76,'SKILLED EMPLOYMENT'!$A$1506:$BW$1841,58,FALSE)</f>
        <v>47.8</v>
      </c>
      <c r="W76" s="77">
        <f>VLOOKUP($F76,'SKILLED EMPLOYMENT'!$A$1506:$BW$1841,62,FALSE)</f>
        <v>52.300000000000004</v>
      </c>
      <c r="X76" s="77">
        <f>VLOOKUP($F76,'SKILLED EMPLOYMENT'!$A$1506:$BW$1841,66,FALSE)</f>
        <v>51.899999999999991</v>
      </c>
      <c r="Y76" s="77">
        <f>VLOOKUP($F76,'SKILLED EMPLOYMENT'!$A$1506:$BW$1841,70,FALSE)</f>
        <v>48.300000000000004</v>
      </c>
      <c r="Z76" s="77">
        <f>VLOOKUP($F76,'SKILLED EMPLOYMENT'!$A$1506:$BW$1841,74,FALSE)</f>
        <v>56.8</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Selby to Rural as a Region</v>
      </c>
      <c r="G79" s="122"/>
      <c r="H79" s="123"/>
      <c r="I79" s="74">
        <f>(I76-I77)</f>
        <v>-2.6000000000000014</v>
      </c>
      <c r="J79" s="74">
        <f t="shared" ref="J79:Z79" si="17">(J76-J77)</f>
        <v>-1.7999999999999972</v>
      </c>
      <c r="K79" s="74">
        <f t="shared" si="17"/>
        <v>4.2999999999999972</v>
      </c>
      <c r="L79" s="74">
        <f t="shared" si="17"/>
        <v>-9.0999999999999943</v>
      </c>
      <c r="M79" s="74">
        <f t="shared" si="17"/>
        <v>-1.5000000000000071</v>
      </c>
      <c r="N79" s="74">
        <f t="shared" si="17"/>
        <v>4.4999999999999929</v>
      </c>
      <c r="O79" s="74">
        <f t="shared" si="17"/>
        <v>-2.6999999999999957</v>
      </c>
      <c r="P79" s="74">
        <f t="shared" si="17"/>
        <v>1</v>
      </c>
      <c r="Q79" s="74">
        <f t="shared" si="17"/>
        <v>0.69999999999999574</v>
      </c>
      <c r="R79" s="74">
        <f t="shared" si="17"/>
        <v>7.9999999999999858</v>
      </c>
      <c r="S79" s="74">
        <f t="shared" si="17"/>
        <v>5.2999999999999972</v>
      </c>
      <c r="T79" s="74">
        <f t="shared" si="17"/>
        <v>1.6000000000000085</v>
      </c>
      <c r="U79" s="74">
        <f t="shared" si="17"/>
        <v>-5.2999999999999972</v>
      </c>
      <c r="V79" s="74">
        <f t="shared" si="17"/>
        <v>-9.3000000000000043</v>
      </c>
      <c r="W79" s="74">
        <f t="shared" si="17"/>
        <v>-5.4999999999999929</v>
      </c>
      <c r="X79" s="74">
        <f t="shared" si="17"/>
        <v>-6.9000000000000057</v>
      </c>
      <c r="Y79" s="74">
        <f t="shared" si="17"/>
        <v>-10.399999999999999</v>
      </c>
      <c r="Z79" s="74">
        <f t="shared" si="17"/>
        <v>-1.6000000000000014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705BFbxiSyBu7FfNrn8AELIxWdJRxJevUpRpNamvplexGwOO2q9p+lBuSyxWKJ+B4A3CqdwR1pb4hddiJ8DS5Q==" saltValue="0z+xQcdd7mP+COA78dgya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2022-08-02T13:16:40Z</dcterms:modified>
</cp:coreProperties>
</file>