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2ABB725A-B4E9-4F2F-A070-3644AB8090C1}" xr6:coauthVersionLast="47" xr6:coauthVersionMax="47" xr10:uidLastSave="{E27C3FE2-D226-4BBA-893D-B72A9FF845CC}"/>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<sst xmlns="http://schemas.openxmlformats.org/spreadsheetml/2006/main" count="32859" uniqueCount="1676">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</sst>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Shropshire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21.43</c:v>
                </c:pt>
                <c:pt idx="1">
                  <c:v>21.38</c:v>
                </c:pt>
                <c:pt idx="2">
                  <c:v>22.09</c:v>
                </c:pt>
                <c:pt idx="3">
                  <c:v>22.76</c:v>
                </c:pt>
                <c:pt idx="4">
                  <c:v>23.25</c:v>
                </c:pt>
                <c:pt idx="5">
                  <c:v>23.47</c:v>
                </c:pt>
                <c:pt idx="6">
                  <c:v>23.55</c:v>
                </c:pt>
                <c:pt idx="7">
                  <c:v>23.81</c:v>
                </c:pt>
                <c:pt idx="8">
                  <c:v>24.01</c:v>
                </c:pt>
                <c:pt idx="9">
                  <c:v>24.49</c:v>
                </c:pt>
                <c:pt idx="10">
                  <c:v>24.7</c:v>
                </c:pt>
                <c:pt idx="11">
                  <c:v>25</c:v>
                </c:pt>
                <c:pt idx="12">
                  <c:v>25.2</c:v>
                </c:pt>
                <c:pt idx="13">
                  <c:v>25.66</c:v>
                </c:pt>
                <c:pt idx="14">
                  <c:v>26.14</c:v>
                </c:pt>
                <c:pt idx="15">
                  <c:v>26.43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Shropshire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409.6</c:v>
                </c:pt>
                <c:pt idx="1">
                  <c:v>404.7</c:v>
                </c:pt>
                <c:pt idx="2">
                  <c:v>437.9</c:v>
                </c:pt>
                <c:pt idx="3">
                  <c:v>434.1</c:v>
                </c:pt>
                <c:pt idx="4">
                  <c:v>410.2</c:v>
                </c:pt>
                <c:pt idx="5">
                  <c:v>441.9</c:v>
                </c:pt>
                <c:pt idx="6">
                  <c:v>460.3</c:v>
                </c:pt>
                <c:pt idx="7">
                  <c:v>465.4</c:v>
                </c:pt>
                <c:pt idx="8">
                  <c:v>479.1</c:v>
                </c:pt>
                <c:pt idx="9">
                  <c:v>473.1</c:v>
                </c:pt>
                <c:pt idx="10">
                  <c:v>503.1</c:v>
                </c:pt>
                <c:pt idx="11">
                  <c:v>522.79999999999995</c:v>
                </c:pt>
                <c:pt idx="12">
                  <c:v>536.9</c:v>
                </c:pt>
                <c:pt idx="13">
                  <c:v>555.79999999999995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Shropshire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76.8</c:v>
                </c:pt>
                <c:pt idx="1">
                  <c:v>77.7</c:v>
                </c:pt>
                <c:pt idx="2">
                  <c:v>75.5</c:v>
                </c:pt>
                <c:pt idx="3">
                  <c:v>75.7</c:v>
                </c:pt>
                <c:pt idx="4">
                  <c:v>75.3</c:v>
                </c:pt>
                <c:pt idx="5">
                  <c:v>75.400000000000006</c:v>
                </c:pt>
                <c:pt idx="6">
                  <c:v>76.8</c:v>
                </c:pt>
                <c:pt idx="7">
                  <c:v>74.900000000000006</c:v>
                </c:pt>
                <c:pt idx="8">
                  <c:v>75.599999999999994</c:v>
                </c:pt>
                <c:pt idx="9">
                  <c:v>77.7</c:v>
                </c:pt>
                <c:pt idx="10">
                  <c:v>77.900000000000006</c:v>
                </c:pt>
                <c:pt idx="11">
                  <c:v>80.2</c:v>
                </c:pt>
                <c:pt idx="12">
                  <c:v>79.599999999999994</c:v>
                </c:pt>
                <c:pt idx="13">
                  <c:v>77.900000000000006</c:v>
                </c:pt>
                <c:pt idx="14">
                  <c:v>82.3</c:v>
                </c:pt>
                <c:pt idx="15">
                  <c:v>80.7</c:v>
                </c:pt>
                <c:pt idx="16">
                  <c:v>77.400000000000006</c:v>
                </c:pt>
                <c:pt idx="17">
                  <c:v>75.099999999999994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Shropshire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13517</c:v>
                </c:pt>
                <c:pt idx="1">
                  <c:v>13792</c:v>
                </c:pt>
                <c:pt idx="2">
                  <c:v>14536</c:v>
                </c:pt>
                <c:pt idx="3">
                  <c:v>14970</c:v>
                </c:pt>
                <c:pt idx="4">
                  <c:v>15801</c:v>
                </c:pt>
                <c:pt idx="5">
                  <c:v>16259</c:v>
                </c:pt>
                <c:pt idx="6">
                  <c:v>16310</c:v>
                </c:pt>
                <c:pt idx="7">
                  <c:v>16650</c:v>
                </c:pt>
                <c:pt idx="8">
                  <c:v>16951</c:v>
                </c:pt>
                <c:pt idx="9">
                  <c:v>17318</c:v>
                </c:pt>
                <c:pt idx="10">
                  <c:v>17755</c:v>
                </c:pt>
                <c:pt idx="11">
                  <c:v>18898</c:v>
                </c:pt>
                <c:pt idx="12">
                  <c:v>19180</c:v>
                </c:pt>
                <c:pt idx="13">
                  <c:v>19475</c:v>
                </c:pt>
                <c:pt idx="14">
                  <c:v>20359</c:v>
                </c:pt>
                <c:pt idx="15">
                  <c:v>20732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Shropshire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31.4</c:v>
                </c:pt>
                <c:pt idx="1">
                  <c:v>27.3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Shropshire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20.7</c:v>
                </c:pt>
                <c:pt idx="1">
                  <c:v>19.899999999999999</c:v>
                </c:pt>
                <c:pt idx="2">
                  <c:v>21.1</c:v>
                </c:pt>
                <c:pt idx="3">
                  <c:v>21.3</c:v>
                </c:pt>
                <c:pt idx="4">
                  <c:v>21.3</c:v>
                </c:pt>
                <c:pt idx="5">
                  <c:v>19</c:v>
                </c:pt>
                <c:pt idx="6">
                  <c:v>19.3</c:v>
                </c:pt>
                <c:pt idx="7">
                  <c:v>19.2</c:v>
                </c:pt>
                <c:pt idx="8">
                  <c:v>18.5</c:v>
                </c:pt>
                <c:pt idx="9">
                  <c:v>17</c:v>
                </c:pt>
                <c:pt idx="10">
                  <c:v>18.7</c:v>
                </c:pt>
                <c:pt idx="11">
                  <c:v>16.2</c:v>
                </c:pt>
                <c:pt idx="12">
                  <c:v>17.600000000000001</c:v>
                </c:pt>
                <c:pt idx="13">
                  <c:v>18.7</c:v>
                </c:pt>
                <c:pt idx="14">
                  <c:v>15.2</c:v>
                </c:pt>
                <c:pt idx="15">
                  <c:v>17.100000000000001</c:v>
                </c:pt>
                <c:pt idx="16">
                  <c:v>19.2</c:v>
                </c:pt>
                <c:pt idx="17">
                  <c:v>23.2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Shropshire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28.599999999999994</c:v>
                </c:pt>
                <c:pt idx="1">
                  <c:v>26.200000000000003</c:v>
                </c:pt>
                <c:pt idx="2">
                  <c:v>35.400000000000006</c:v>
                </c:pt>
                <c:pt idx="3">
                  <c:v>32.5</c:v>
                </c:pt>
                <c:pt idx="4">
                  <c:v>21.900000000000006</c:v>
                </c:pt>
                <c:pt idx="5">
                  <c:v>26.1</c:v>
                </c:pt>
                <c:pt idx="6">
                  <c:v>33</c:v>
                </c:pt>
                <c:pt idx="7">
                  <c:v>19.300000000000004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Shropshire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10.441698976130638</c:v>
                </c:pt>
                <c:pt idx="1">
                  <c:v>9.0828066615733629</c:v>
                </c:pt>
                <c:pt idx="2">
                  <c:v>8.5880108916554256</c:v>
                </c:pt>
                <c:pt idx="3">
                  <c:v>9.2067042384921685</c:v>
                </c:pt>
                <c:pt idx="4">
                  <c:v>7.7290081436463929</c:v>
                </c:pt>
                <c:pt idx="5">
                  <c:v>8.5179675878806851</c:v>
                </c:pt>
                <c:pt idx="6">
                  <c:v>9.3950271984495775</c:v>
                </c:pt>
                <c:pt idx="7">
                  <c:v>6.5095446304788309</c:v>
                </c:pt>
                <c:pt idx="8">
                  <c:v>10.643153526970954</c:v>
                </c:pt>
                <c:pt idx="9">
                  <c:v>7.6256960366852287</c:v>
                </c:pt>
                <c:pt idx="10">
                  <c:v>6.9877921832118854</c:v>
                </c:pt>
                <c:pt idx="11">
                  <c:v>9.5463406325113098</c:v>
                </c:pt>
                <c:pt idx="12">
                  <c:v>6.9945606374013636</c:v>
                </c:pt>
                <c:pt idx="13">
                  <c:v>9.1427929866581845</c:v>
                </c:pt>
                <c:pt idx="14">
                  <c:v>11.407658452776012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Shropshire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51.2</c:v>
                </c:pt>
                <c:pt idx="1">
                  <c:v>50.399999999999991</c:v>
                </c:pt>
                <c:pt idx="2">
                  <c:v>53</c:v>
                </c:pt>
                <c:pt idx="3">
                  <c:v>57.8</c:v>
                </c:pt>
                <c:pt idx="4">
                  <c:v>54.6</c:v>
                </c:pt>
                <c:pt idx="5">
                  <c:v>54.300000000000004</c:v>
                </c:pt>
                <c:pt idx="6">
                  <c:v>53.800000000000004</c:v>
                </c:pt>
                <c:pt idx="7">
                  <c:v>50.999999999999993</c:v>
                </c:pt>
                <c:pt idx="8">
                  <c:v>49.8</c:v>
                </c:pt>
                <c:pt idx="9">
                  <c:v>51.9</c:v>
                </c:pt>
                <c:pt idx="10">
                  <c:v>54.100000000000009</c:v>
                </c:pt>
                <c:pt idx="11">
                  <c:v>53.300000000000004</c:v>
                </c:pt>
                <c:pt idx="12">
                  <c:v>53.7</c:v>
                </c:pt>
                <c:pt idx="13">
                  <c:v>55.4</c:v>
                </c:pt>
                <c:pt idx="14">
                  <c:v>57.900000000000006</c:v>
                </c:pt>
                <c:pt idx="15">
                  <c:v>61.599999999999994</c:v>
                </c:pt>
                <c:pt idx="16">
                  <c:v>58.7</c:v>
                </c:pt>
                <c:pt idx="17">
                  <c:v>60.6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Shropshire follows a similar path to 'Rural as a Region' and is either in line with or above the rural position.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Shropshire,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Shropshire,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Shropshire's economic inactivity rate deviates from what is seen for 'Rural as a Region' taking it from 2009 to 2019 below the rural situation, but is otherwise in line with the rural situation.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Shropshire vaguely follows the situation for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Shropshire's proportion fluctuates a little year on year but generally sits somewhere between 7% and 10%.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Shropshire in general has a similar proportion of employed people in skilled employment as that seen for 'Rural as a Region' and England.</a:t>
          </a:r>
          <a:endParaRPr lang="en-GB" sz="1100">
            <a:latin typeface="Avenir Next LT Pro" panose="020B0504020202020204" pitchFamily="34" charset="0"/>
          </a:endParaRPr>
        </a:p>
      </xdr:txBody>
    </xdr:sp>
    <xdr:clientData/>
  </xdr:twoCellAnchor>
  <xdr:twoCellAnchor>
    <xdr:from>
      <xdr:col>0</xdr:col>
      <xdr:colOff>579120</xdr:colOff>
      <xdr:row>12</xdr:row>
      <xdr:rowOff>541020</xdr:rowOff>
    </xdr:from>
    <xdr:to>
      <xdr:col>1</xdr:col>
      <xdr:colOff>2560320</xdr:colOff>
      <xdr:row>14</xdr:row>
      <xdr:rowOff>205740</xdr:rowOff>
    </xdr:to>
    <xdr:sp macro="" textlink="">
      <xdr:nvSpPr>
        <xdr:cNvPr id="20" name="TextBox 19">
          <a:extLst>
            <a:ext uri="{FF2B5EF4-FFF2-40B4-BE49-F238E27FC236}">
              <a16:creationId xmlns:a16="http://schemas.microsoft.com/office/drawing/2014/main" id="{FB6D6D2B-627B-44B3-A5E6-AB0E59C422B8}"/>
            </a:ext>
          </a:extLst>
        </xdr:cNvPr>
        <xdr:cNvSpPr txBox="1"/>
      </xdr:nvSpPr>
      <xdr:spPr>
        <a:xfrm>
          <a:off x="579120" y="3528060"/>
          <a:ext cx="6682740" cy="9601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Shropshire in 2004 is lower than both 'Rural as a Region' and England, its rate of increase from that point is lower than both so that in 2019 the gap has increased.</a:t>
          </a:r>
          <a:endParaRPr lang="en-GB" sz="1100">
            <a:latin typeface="Avenir Next LT Pro" panose="020B0504020202020204" pitchFamily="34" charset="0"/>
          </a:endParaRPr>
        </a:p>
      </xdr:txBody>
    </xdr:sp>
    <xdr:clientData/>
  </xdr:twoCellAnchor>
  <xdr:twoCellAnchor>
    <xdr:from>
      <xdr:col>0</xdr:col>
      <xdr:colOff>632460</xdr:colOff>
      <xdr:row>21</xdr:row>
      <xdr:rowOff>7620</xdr:rowOff>
    </xdr:from>
    <xdr:to>
      <xdr:col>1</xdr:col>
      <xdr:colOff>2613660</xdr:colOff>
      <xdr:row>22</xdr:row>
      <xdr:rowOff>182880</xdr:rowOff>
    </xdr:to>
    <xdr:sp macro="" textlink="">
      <xdr:nvSpPr>
        <xdr:cNvPr id="21" name="TextBox 20">
          <a:extLst>
            <a:ext uri="{FF2B5EF4-FFF2-40B4-BE49-F238E27FC236}">
              <a16:creationId xmlns:a16="http://schemas.microsoft.com/office/drawing/2014/main" id="{A3DE25B6-3631-4A77-A032-9C4DB62C3B32}"/>
            </a:ext>
          </a:extLst>
        </xdr:cNvPr>
        <xdr:cNvSpPr txBox="1"/>
      </xdr:nvSpPr>
      <xdr:spPr>
        <a:xfrm>
          <a:off x="63246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Shropshire has fluctuated a little over the years, but generally follows the path of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125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Shropshire</v>
      </c>
      <c r="G12" s="88" t="str">
        <f>IFERROR(VLOOKUP(F12,GVA!B244:B552,1,FALSE),VLOOKUP(F12,GVA!B6:C230,2,FALSE))</f>
        <v>Shropshire</v>
      </c>
      <c r="H12" s="89" t="str">
        <f>IF(F12=G12,"",G12)</f>
        <v/>
      </c>
      <c r="I12" s="76">
        <f>IFERROR(VLOOKUP($F12,GVA!$B$7:$S$230,GVA!D$3,FALSE),VLOOKUP($F12,GVA!$B$244:$T$554,GVA!E$3,FALSE))</f>
        <v>21.43</v>
      </c>
      <c r="J12" s="77">
        <f>IFERROR(VLOOKUP($F12,GVA!$B$7:$S$230,GVA!E$3,FALSE),VLOOKUP($F12,GVA!$B$244:$T$554,GVA!F$3,FALSE))</f>
        <v>21.38</v>
      </c>
      <c r="K12" s="77">
        <f>IFERROR(VLOOKUP($F12,GVA!$B$7:$S$230,GVA!F$3,FALSE),VLOOKUP($F12,GVA!$B$244:$T$554,GVA!G$3,FALSE))</f>
        <v>22.09</v>
      </c>
      <c r="L12" s="77">
        <f>IFERROR(VLOOKUP($F12,GVA!$B$7:$S$230,GVA!G$3,FALSE),VLOOKUP($F12,GVA!$B$244:$T$554,GVA!H$3,FALSE))</f>
        <v>22.76</v>
      </c>
      <c r="M12" s="77">
        <f>IFERROR(VLOOKUP($F12,GVA!$B$7:$S$230,GVA!H$3,FALSE),VLOOKUP($F12,GVA!$B$244:$T$554,GVA!I$3,FALSE))</f>
        <v>23.25</v>
      </c>
      <c r="N12" s="77">
        <f>IFERROR(VLOOKUP($F12,GVA!$B$7:$S$230,GVA!I$3,FALSE),VLOOKUP($F12,GVA!$B$244:$T$554,GVA!J$3,FALSE))</f>
        <v>23.47</v>
      </c>
      <c r="O12" s="77">
        <f>IFERROR(VLOOKUP($F12,GVA!$B$7:$S$230,GVA!J$3,FALSE),VLOOKUP($F12,GVA!$B$244:$T$554,GVA!K$3,FALSE))</f>
        <v>23.55</v>
      </c>
      <c r="P12" s="77">
        <f>IFERROR(VLOOKUP($F12,GVA!$B$7:$S$230,GVA!K$3,FALSE),VLOOKUP($F12,GVA!$B$244:$T$554,GVA!L$3,FALSE))</f>
        <v>23.81</v>
      </c>
      <c r="Q12" s="77">
        <f>IFERROR(VLOOKUP($F12,GVA!$B$7:$S$230,GVA!L$3,FALSE),VLOOKUP($F12,GVA!$B$244:$T$554,GVA!M$3,FALSE))</f>
        <v>24.01</v>
      </c>
      <c r="R12" s="77">
        <f>IFERROR(VLOOKUP($F12,GVA!$B$7:$S$230,GVA!M$3,FALSE),VLOOKUP($F12,GVA!$B$244:$T$554,GVA!N$3,FALSE))</f>
        <v>24.49</v>
      </c>
      <c r="S12" s="77">
        <f>IFERROR(VLOOKUP($F12,GVA!$B$7:$S$230,GVA!N$3,FALSE),VLOOKUP($F12,GVA!$B$244:$T$554,GVA!O$3,FALSE))</f>
        <v>24.7</v>
      </c>
      <c r="T12" s="77">
        <f>IFERROR(VLOOKUP($F12,GVA!$B$7:$S$230,GVA!O$3,FALSE),VLOOKUP($F12,GVA!$B$244:$T$554,GVA!P$3,FALSE))</f>
        <v>25</v>
      </c>
      <c r="U12" s="77">
        <f>IFERROR(VLOOKUP($F12,GVA!$B$7:$S$230,GVA!P$3,FALSE),VLOOKUP($F12,GVA!$B$244:$T$554,GVA!Q$3,FALSE))</f>
        <v>25.2</v>
      </c>
      <c r="V12" s="77">
        <f>IFERROR(VLOOKUP($F12,GVA!$B$7:$S$230,GVA!Q$3,FALSE),VLOOKUP($F12,GVA!$B$244:$T$554,GVA!R$3,FALSE))</f>
        <v>25.66</v>
      </c>
      <c r="W12" s="77">
        <f>IFERROR(VLOOKUP($F12,GVA!$B$7:$S$230,GVA!R$3,FALSE),VLOOKUP($F12,GVA!$B$244:$T$554,GVA!S$3,FALSE))</f>
        <v>26.14</v>
      </c>
      <c r="X12" s="77">
        <f>IFERROR(VLOOKUP($F12,GVA!$B$7:$S$230,GVA!S$3,FALSE),VLOOKUP($F12,GVA!$B$244:$T$554,GVA!T$3,FALSE))</f>
        <v>26.43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Shropshire to Rural as a Region</v>
      </c>
      <c r="G15" s="122"/>
      <c r="H15" s="123"/>
      <c r="I15" s="74">
        <f>100*((I12-I13)/I13)</f>
        <v>-8.9639268321052299</v>
      </c>
      <c r="J15" s="74">
        <f t="shared" ref="J15:X15" si="0">100*((J12-J13)/J13)</f>
        <v>-8.9234639024687166</v>
      </c>
      <c r="K15" s="74">
        <f t="shared" si="0"/>
        <v>-9.1093444622416069</v>
      </c>
      <c r="L15" s="74">
        <f t="shared" si="0"/>
        <v>-8.3683211594869888</v>
      </c>
      <c r="M15" s="74">
        <f t="shared" si="0"/>
        <v>-7.9741592570079431</v>
      </c>
      <c r="N15" s="74">
        <f t="shared" si="0"/>
        <v>-7.8622804024844566</v>
      </c>
      <c r="O15" s="74">
        <f t="shared" si="0"/>
        <v>-8.6859585389383795</v>
      </c>
      <c r="P15" s="74">
        <f t="shared" si="0"/>
        <v>-9.0340978864495263</v>
      </c>
      <c r="Q15" s="74">
        <f t="shared" si="0"/>
        <v>-10.110977403396181</v>
      </c>
      <c r="R15" s="74">
        <f t="shared" si="0"/>
        <v>-9.8768514989420435</v>
      </c>
      <c r="S15" s="74">
        <f t="shared" si="0"/>
        <v>-10.587079341685122</v>
      </c>
      <c r="T15" s="74">
        <f t="shared" si="0"/>
        <v>-11.184043579029272</v>
      </c>
      <c r="U15" s="74">
        <f t="shared" si="0"/>
        <v>-12.612341112409212</v>
      </c>
      <c r="V15" s="74">
        <f t="shared" si="0"/>
        <v>-13.371782247854821</v>
      </c>
      <c r="W15" s="74">
        <f t="shared" si="0"/>
        <v>-13.542203969775779</v>
      </c>
      <c r="X15" s="74">
        <f t="shared" si="0"/>
        <v>-13.489796634077738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Shropshire</v>
      </c>
      <c r="G20" s="88"/>
      <c r="H20" s="89"/>
      <c r="I20" s="80">
        <f>IF(VLOOKUP($F20,PAY!$A$11:$AE$349,4,FALSE)="-",#N/A,VLOOKUP($F20,PAY!$A$11:$AE$349,4,FALSE))</f>
        <v>409.6</v>
      </c>
      <c r="J20" s="80">
        <f>IF(VLOOKUP($F20,PAY!$A$11:$AE$349,6,FALSE)="-",#N/A,VLOOKUP($F20,PAY!$A$11:$AE$349,6,FALSE))</f>
        <v>404.7</v>
      </c>
      <c r="K20" s="80">
        <f>IF(VLOOKUP($F20,PAY!$A$11:$AE$349,8,FALSE)="-",#N/A,VLOOKUP($F20,PAY!$A$11:$AE$349,8,FALSE))</f>
        <v>437.9</v>
      </c>
      <c r="L20" s="80">
        <f>IF(VLOOKUP($F20,PAY!$A$11:$AE$349,10,FALSE)="-",#N/A,VLOOKUP($F20,PAY!$A$11:$AE$349,10,FALSE))</f>
        <v>434.1</v>
      </c>
      <c r="M20" s="80">
        <f>IF(VLOOKUP($F20,PAY!$A$11:$AE$349,12,FALSE)="-",#N/A,VLOOKUP($F20,PAY!$A$11:$AE$349,12,FALSE))</f>
        <v>410.2</v>
      </c>
      <c r="N20" s="80">
        <f>IF(VLOOKUP($F20,PAY!$A$11:$AE$349,14,FALSE)="-",#N/A,VLOOKUP($F20,PAY!$A$11:$AE$349,14,FALSE))</f>
        <v>441.9</v>
      </c>
      <c r="O20" s="80">
        <f>IF(VLOOKUP($F20,PAY!$A$11:$AE$349,16,FALSE)="-",#N/A,VLOOKUP($F20,PAY!$A$11:$AE$349,16,FALSE))</f>
        <v>460.3</v>
      </c>
      <c r="P20" s="80">
        <f>IF(VLOOKUP($F20,PAY!$A$11:$AE$349,18,FALSE)="-",#N/A,VLOOKUP($F20,PAY!$A$11:$AE$349,18,FALSE))</f>
        <v>465.4</v>
      </c>
      <c r="Q20" s="80">
        <f>IF(VLOOKUP($F20,PAY!$A$11:$AE$349,20,FALSE)="-",#N/A,VLOOKUP($F20,PAY!$A$11:$AE$349,20,FALSE))</f>
        <v>479.1</v>
      </c>
      <c r="R20" s="80">
        <f>IF(VLOOKUP($F20,PAY!$A$11:$AE$349,22,FALSE)="-",#N/A,VLOOKUP($F20,PAY!$A$11:$AE$349,22,FALSE))</f>
        <v>473.1</v>
      </c>
      <c r="S20" s="80">
        <f>IF(VLOOKUP($F20,PAY!$A$11:$AE$349,24,FALSE)="-",#N/A,VLOOKUP($F20,PAY!$A$11:$AE$349,24,FALSE))</f>
        <v>503.1</v>
      </c>
      <c r="T20" s="80">
        <f>IF(VLOOKUP($F20,PAY!$A$11:$AE$349,26,FALSE)="-",#N/A,VLOOKUP($F20,PAY!$A$11:$AE$349,26,FALSE))</f>
        <v>522.79999999999995</v>
      </c>
      <c r="U20" s="80">
        <f>IF(VLOOKUP($F20,PAY!$A$11:$AE$349,28,FALSE)="-",#N/A,VLOOKUP($F20,PAY!$A$11:$AE$349,28,FALSE))</f>
        <v>536.9</v>
      </c>
      <c r="V20" s="80">
        <f>IF(VLOOKUP($F20,PAY!$A$11:$AE$349,30,FALSE)="-",#N/A,VLOOKUP($F20,PAY!$A$11:$AE$349,30,FALSE))</f>
        <v>555.79999999999995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Shropshire to Rural as a Region</v>
      </c>
      <c r="G23" s="122"/>
      <c r="H23" s="123"/>
      <c r="I23" s="74">
        <f>100*((I20-I21)/I21)</f>
        <v>-5.4024977781935473</v>
      </c>
      <c r="J23" s="74">
        <f t="shared" ref="J23:V23" si="2">100*((J20-J21)/J21)</f>
        <v>-7.3754076786633913</v>
      </c>
      <c r="K23" s="74">
        <f t="shared" si="2"/>
        <v>-2.2790381035510694</v>
      </c>
      <c r="L23" s="74">
        <f t="shared" si="2"/>
        <v>-3.6731495213698029</v>
      </c>
      <c r="M23" s="74">
        <f t="shared" si="2"/>
        <v>-9.8942837599613078</v>
      </c>
      <c r="N23" s="74">
        <f t="shared" si="2"/>
        <v>-4.592709603012799</v>
      </c>
      <c r="O23" s="74">
        <f t="shared" si="2"/>
        <v>-2.2307721262374471</v>
      </c>
      <c r="P23" s="74">
        <f t="shared" si="2"/>
        <v>-1.984223252441299</v>
      </c>
      <c r="Q23" s="74">
        <f t="shared" si="2"/>
        <v>-2.1210734152074977</v>
      </c>
      <c r="R23" s="74">
        <f t="shared" si="2"/>
        <v>-6.1415602516291514</v>
      </c>
      <c r="S23" s="74">
        <f t="shared" si="2"/>
        <v>-2.2016030192328988</v>
      </c>
      <c r="T23" s="74">
        <f t="shared" si="2"/>
        <v>-2.0421273814595793</v>
      </c>
      <c r="U23" s="74">
        <f t="shared" si="2"/>
        <v>1.1019352496767369</v>
      </c>
      <c r="V23" s="74">
        <f t="shared" si="2"/>
        <v>-1.4982992797829287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Shropshire</v>
      </c>
      <c r="G28" s="88"/>
      <c r="H28" s="89"/>
      <c r="I28" s="76">
        <f>VLOOKUP($F28,EMPLOYMENT!$A$6:$BW$345,6,FALSE)</f>
        <v>76.8</v>
      </c>
      <c r="J28" s="77">
        <f>VLOOKUP($F28,EMPLOYMENT!$A$6:$BW$345,10,FALSE)</f>
        <v>77.7</v>
      </c>
      <c r="K28" s="77">
        <f>VLOOKUP($F28,EMPLOYMENT!$A$6:$BW$345,14,FALSE)</f>
        <v>75.5</v>
      </c>
      <c r="L28" s="77">
        <f>VLOOKUP($F28,EMPLOYMENT!$A$6:$BW$345,18,FALSE)</f>
        <v>75.7</v>
      </c>
      <c r="M28" s="77">
        <f>VLOOKUP($F28,EMPLOYMENT!$A$6:$BW$345,22,FALSE)</f>
        <v>75.3</v>
      </c>
      <c r="N28" s="77">
        <f>VLOOKUP($F28,EMPLOYMENT!$A$6:$BW$345,26,FALSE)</f>
        <v>75.400000000000006</v>
      </c>
      <c r="O28" s="77">
        <f>VLOOKUP($F28,EMPLOYMENT!$A$6:$BW$345,30,FALSE)</f>
        <v>76.8</v>
      </c>
      <c r="P28" s="77">
        <f>VLOOKUP($F28,EMPLOYMENT!$A$6:$BW$345,34,FALSE)</f>
        <v>74.900000000000006</v>
      </c>
      <c r="Q28" s="77">
        <f>VLOOKUP($F28,EMPLOYMENT!$A$6:$BW$345,38,FALSE)</f>
        <v>75.599999999999994</v>
      </c>
      <c r="R28" s="77">
        <f>VLOOKUP($F28,EMPLOYMENT!$A$6:$BW$345,42,FALSE)</f>
        <v>77.7</v>
      </c>
      <c r="S28" s="77">
        <f>VLOOKUP($F28,EMPLOYMENT!$A$6:$BW$345,46,FALSE)</f>
        <v>77.900000000000006</v>
      </c>
      <c r="T28" s="77">
        <f>VLOOKUP($F28,EMPLOYMENT!$A$6:$BW$345,50,FALSE)</f>
        <v>80.2</v>
      </c>
      <c r="U28" s="77">
        <f>VLOOKUP($F28,EMPLOYMENT!$A$6:$BW$345,54,FALSE)</f>
        <v>79.599999999999994</v>
      </c>
      <c r="V28" s="77">
        <f>VLOOKUP($F28,EMPLOYMENT!$A$6:$BW$345,58,FALSE)</f>
        <v>77.900000000000006</v>
      </c>
      <c r="W28" s="77">
        <f>VLOOKUP($F28,EMPLOYMENT!$A$6:$BW$345,62,FALSE)</f>
        <v>82.3</v>
      </c>
      <c r="X28" s="77">
        <f>VLOOKUP($F28,EMPLOYMENT!$A$6:$BW$345,66,FALSE)</f>
        <v>80.7</v>
      </c>
      <c r="Y28" s="77">
        <f>VLOOKUP($F28,EMPLOYMENT!$A$6:$BW$345,70,FALSE)</f>
        <v>77.400000000000006</v>
      </c>
      <c r="Z28" s="77">
        <f>VLOOKUP($F28,EMPLOYMENT!$A$6:$BW$345,74,FALSE)</f>
        <v>75.099999999999994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Shropshire to Rural as a Region</v>
      </c>
      <c r="G31" s="122"/>
      <c r="H31" s="123"/>
      <c r="I31" s="74">
        <f>(I28-I29)</f>
        <v>0.68865808059825895</v>
      </c>
      <c r="J31" s="74">
        <f t="shared" ref="J31:Z31" si="4">(J28-J29)</f>
        <v>1.3870245333170459</v>
      </c>
      <c r="K31" s="74">
        <f t="shared" si="4"/>
        <v>-0.37318889948676315</v>
      </c>
      <c r="L31" s="74">
        <f t="shared" si="4"/>
        <v>5.9531697372165127E-2</v>
      </c>
      <c r="M31" s="74">
        <f t="shared" si="4"/>
        <v>-0.4355243733317451</v>
      </c>
      <c r="N31" s="74">
        <f t="shared" si="4"/>
        <v>0.89046015712682447</v>
      </c>
      <c r="O31" s="74">
        <f t="shared" si="4"/>
        <v>3.2528668610301281</v>
      </c>
      <c r="P31" s="74">
        <f t="shared" si="4"/>
        <v>1.1657045967223922</v>
      </c>
      <c r="Q31" s="74">
        <f t="shared" si="4"/>
        <v>1.5668425245374209</v>
      </c>
      <c r="R31" s="74">
        <f t="shared" si="4"/>
        <v>2.9555250700997959</v>
      </c>
      <c r="S31" s="74">
        <f t="shared" si="4"/>
        <v>1.7911396599243972</v>
      </c>
      <c r="T31" s="74">
        <f t="shared" si="4"/>
        <v>3.0094680243909835</v>
      </c>
      <c r="U31" s="74">
        <f t="shared" si="4"/>
        <v>2.6283675182919524</v>
      </c>
      <c r="V31" s="74">
        <f t="shared" si="4"/>
        <v>-0.13278688524589199</v>
      </c>
      <c r="W31" s="74">
        <f t="shared" si="4"/>
        <v>4.2518431065858522</v>
      </c>
      <c r="X31" s="74">
        <f t="shared" si="4"/>
        <v>2.1087006210432975</v>
      </c>
      <c r="Y31" s="74">
        <f t="shared" si="4"/>
        <v>0.38565370387080122</v>
      </c>
      <c r="Z31" s="74">
        <f t="shared" si="4"/>
        <v>-1.0557580778790481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Shropshire</v>
      </c>
      <c r="G36" s="88" t="str">
        <f>IFERROR(VLOOKUP(F36,GDHI!B338:C574,2,FALSE),VLOOKUP(F36,GDHI!C3:C336,1,FALSE))</f>
        <v>Shropshire</v>
      </c>
      <c r="H36" s="89" t="str">
        <f>IF(F36=G36,"",G36)</f>
        <v/>
      </c>
      <c r="I36" s="83">
        <f>IFERROR(VLOOKUP($F36,GDHI!$B$338:$U$574,GDHI!G$578,FALSE),VLOOKUP($F36,GDHI!$C$3:$U$336,GDHI!F$578,FALSE))</f>
        <v>13517</v>
      </c>
      <c r="J36" s="84">
        <f>IFERROR(VLOOKUP($F36,GDHI!$B$338:$U$574,GDHI!H$578,FALSE),VLOOKUP($F36,GDHI!$C$3:$U$336,GDHI!G$578,FALSE))</f>
        <v>13792</v>
      </c>
      <c r="K36" s="84">
        <f>IFERROR(VLOOKUP($F36,GDHI!$B$338:$U$574,GDHI!I$578,FALSE),VLOOKUP($F36,GDHI!$C$3:$U$336,GDHI!H$578,FALSE))</f>
        <v>14536</v>
      </c>
      <c r="L36" s="84">
        <f>IFERROR(VLOOKUP($F36,GDHI!$B$338:$U$574,GDHI!J$578,FALSE),VLOOKUP($F36,GDHI!$C$3:$U$336,GDHI!I$578,FALSE))</f>
        <v>14970</v>
      </c>
      <c r="M36" s="84">
        <f>IFERROR(VLOOKUP($F36,GDHI!$B$338:$U$574,GDHI!K$578,FALSE),VLOOKUP($F36,GDHI!$C$3:$U$336,GDHI!J$578,FALSE))</f>
        <v>15801</v>
      </c>
      <c r="N36" s="84">
        <f>IFERROR(VLOOKUP($F36,GDHI!$B$338:$U$574,GDHI!L$578,FALSE),VLOOKUP($F36,GDHI!$C$3:$U$336,GDHI!K$578,FALSE))</f>
        <v>16259</v>
      </c>
      <c r="O36" s="84">
        <f>IFERROR(VLOOKUP($F36,GDHI!$B$338:$U$574,GDHI!M$578,FALSE),VLOOKUP($F36,GDHI!$C$3:$U$336,GDHI!L$578,FALSE))</f>
        <v>16310</v>
      </c>
      <c r="P36" s="84">
        <f>IFERROR(VLOOKUP($F36,GDHI!$B$338:$U$574,GDHI!N$578,FALSE),VLOOKUP($F36,GDHI!$C$3:$U$336,GDHI!M$578,FALSE))</f>
        <v>16650</v>
      </c>
      <c r="Q36" s="84">
        <f>IFERROR(VLOOKUP($F36,GDHI!$B$338:$U$574,GDHI!O$578,FALSE),VLOOKUP($F36,GDHI!$C$3:$U$336,GDHI!N$578,FALSE))</f>
        <v>16951</v>
      </c>
      <c r="R36" s="84">
        <f>IFERROR(VLOOKUP($F36,GDHI!$B$338:$U$574,GDHI!P$578,FALSE),VLOOKUP($F36,GDHI!$C$3:$U$336,GDHI!O$578,FALSE))</f>
        <v>17318</v>
      </c>
      <c r="S36" s="84">
        <f>IFERROR(VLOOKUP($F36,GDHI!$B$338:$U$574,GDHI!Q$578,FALSE),VLOOKUP($F36,GDHI!$C$3:$U$336,GDHI!P$578,FALSE))</f>
        <v>17755</v>
      </c>
      <c r="T36" s="84">
        <f>IFERROR(VLOOKUP($F36,GDHI!$B$338:$U$574,GDHI!R$578,FALSE),VLOOKUP($F36,GDHI!$C$3:$U$336,GDHI!Q$578,FALSE))</f>
        <v>18898</v>
      </c>
      <c r="U36" s="84">
        <f>IFERROR(VLOOKUP($F36,GDHI!$B$338:$U$574,GDHI!S$578,FALSE),VLOOKUP($F36,GDHI!$C$3:$U$336,GDHI!R$578,FALSE))</f>
        <v>19180</v>
      </c>
      <c r="V36" s="84">
        <f>IFERROR(VLOOKUP($F36,GDHI!$B$338:$U$574,GDHI!T$578,FALSE),VLOOKUP($F36,GDHI!$C$3:$U$336,GDHI!S$578,FALSE))</f>
        <v>19475</v>
      </c>
      <c r="W36" s="84">
        <f>IFERROR(VLOOKUP($F36,GDHI!$B$338:$U$574,GDHI!U$578,FALSE),VLOOKUP($F36,GDHI!$C$3:$U$336,GDHI!T$578,FALSE))</f>
        <v>20359</v>
      </c>
      <c r="X36" s="84">
        <f>IFERROR(VLOOKUP($F36,GDHI!$B$338:$U$574,GDHI!V$578,FALSE),VLOOKUP($F36,GDHI!$C$3:$U$336,GDHI!U$578,FALSE))</f>
        <v>20732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Shropshire to Rural as a Region</v>
      </c>
      <c r="G39" s="122"/>
      <c r="H39" s="123"/>
      <c r="I39" s="74">
        <f>100*((I36-I37)/I37)</f>
        <v>-8.1070056766035563</v>
      </c>
      <c r="J39" s="74">
        <f t="shared" ref="J39:X39" si="6">100*((J36-J37)/J37)</f>
        <v>-10.09970659922821</v>
      </c>
      <c r="K39" s="74">
        <f t="shared" si="6"/>
        <v>-8.7174265548570524</v>
      </c>
      <c r="L39" s="74">
        <f t="shared" si="6"/>
        <v>-9.6460728289384399</v>
      </c>
      <c r="M39" s="74">
        <f t="shared" si="6"/>
        <v>-7.3981231027479399</v>
      </c>
      <c r="N39" s="74">
        <f t="shared" si="6"/>
        <v>-5.9788449027781185</v>
      </c>
      <c r="O39" s="74">
        <f t="shared" si="6"/>
        <v>-6.8421428401437518</v>
      </c>
      <c r="P39" s="74">
        <f t="shared" si="6"/>
        <v>-6.4609243956008644</v>
      </c>
      <c r="Q39" s="74">
        <f t="shared" si="6"/>
        <v>-7.7062486145086622</v>
      </c>
      <c r="R39" s="74">
        <f t="shared" si="6"/>
        <v>-8.2438560095773319</v>
      </c>
      <c r="S39" s="74">
        <f t="shared" si="6"/>
        <v>-8.4606758744883415</v>
      </c>
      <c r="T39" s="74">
        <f t="shared" si="6"/>
        <v>-7.6269914146157456</v>
      </c>
      <c r="U39" s="74">
        <f t="shared" si="6"/>
        <v>-7.0056311948338053</v>
      </c>
      <c r="V39" s="74">
        <f t="shared" si="6"/>
        <v>-7.1092458638090603</v>
      </c>
      <c r="W39" s="74">
        <f t="shared" si="6"/>
        <v>-6.7891632392553038</v>
      </c>
      <c r="X39" s="74">
        <f t="shared" si="6"/>
        <v>-6.8857935561210182</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Shropshire</v>
      </c>
      <c r="G44" s="88"/>
      <c r="H44" s="89"/>
      <c r="I44" s="76">
        <f>VLOOKUP($F44,'LOW PAID'!$A$9:$N$444,6,FALSE)</f>
        <v>31.4</v>
      </c>
      <c r="J44" s="77">
        <f>VLOOKUP($F44,'LOW PAID'!$P$9:$W$444,6,FALSE)</f>
        <v>27.3</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Shropshire to Rural as a Region</v>
      </c>
      <c r="G47" s="122"/>
      <c r="H47" s="123"/>
      <c r="I47" s="74">
        <f>(I44-I45)</f>
        <v>6.2061253217868817</v>
      </c>
      <c r="J47" s="74">
        <f>(J44-J45)</f>
        <v>1.6138834909699469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Shropshire</v>
      </c>
      <c r="G52" s="88"/>
      <c r="H52" s="89"/>
      <c r="I52" s="76">
        <f>VLOOKUP($F52,INACTIVITY!$A$6:$BW$345,6,FALSE)</f>
        <v>20.7</v>
      </c>
      <c r="J52" s="77">
        <f>VLOOKUP($F52,INACTIVITY!$A$6:$BW$345,10,FALSE)</f>
        <v>19.899999999999999</v>
      </c>
      <c r="K52" s="77">
        <f>VLOOKUP($F52,INACTIVITY!$A$6:$BW$345,14,FALSE)</f>
        <v>21.1</v>
      </c>
      <c r="L52" s="77">
        <f>VLOOKUP($F52,INACTIVITY!$A$6:$BW$345,18,FALSE)</f>
        <v>21.3</v>
      </c>
      <c r="M52" s="77">
        <f>VLOOKUP($F52,INACTIVITY!$A$6:$BW$345,22,FALSE)</f>
        <v>21.3</v>
      </c>
      <c r="N52" s="77">
        <f>VLOOKUP($F52,INACTIVITY!$A$6:$BW$345,26,FALSE)</f>
        <v>19</v>
      </c>
      <c r="O52" s="77">
        <f>VLOOKUP($F52,INACTIVITY!$A$6:$BW$345,30,FALSE)</f>
        <v>19.3</v>
      </c>
      <c r="P52" s="77">
        <f>VLOOKUP($F52,INACTIVITY!$A$6:$BW$345,34,FALSE)</f>
        <v>19.2</v>
      </c>
      <c r="Q52" s="77">
        <f>VLOOKUP($F52,INACTIVITY!$A$6:$BW$345,38,FALSE)</f>
        <v>18.5</v>
      </c>
      <c r="R52" s="77">
        <f>VLOOKUP($F52,INACTIVITY!$A$6:$BW$345,42,FALSE)</f>
        <v>17</v>
      </c>
      <c r="S52" s="77">
        <f>VLOOKUP($F52,INACTIVITY!$A$6:$BW$345,46,FALSE)</f>
        <v>18.7</v>
      </c>
      <c r="T52" s="77">
        <f>VLOOKUP($F52,INACTIVITY!$A$6:$BW$345,50,FALSE)</f>
        <v>16.2</v>
      </c>
      <c r="U52" s="77">
        <f>VLOOKUP($F52,INACTIVITY!$A$6:$BW$345,54,FALSE)</f>
        <v>17.600000000000001</v>
      </c>
      <c r="V52" s="77">
        <f>VLOOKUP($F52,INACTIVITY!$A$6:$BW$345,58,FALSE)</f>
        <v>18.7</v>
      </c>
      <c r="W52" s="77">
        <f>VLOOKUP($F52,INACTIVITY!$A$6:$BW$345,62,FALSE)</f>
        <v>15.2</v>
      </c>
      <c r="X52" s="77">
        <f>VLOOKUP($F52,INACTIVITY!$A$6:$BW$345,66,FALSE)</f>
        <v>17.100000000000001</v>
      </c>
      <c r="Y52" s="77">
        <f>VLOOKUP($F52,INACTIVITY!$A$6:$BW$345,70,FALSE)</f>
        <v>19.2</v>
      </c>
      <c r="Z52" s="77">
        <f>VLOOKUP($F52,INACTIVITY!$A$6:$BW$345,74,FALSE)</f>
        <v>23.2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Shropshire to Rural as a Region</v>
      </c>
      <c r="G55" s="122"/>
      <c r="H55" s="123"/>
      <c r="I55" s="74">
        <f>(I52-I53)</f>
        <v>-0.69564457161023796</v>
      </c>
      <c r="J55" s="74">
        <f t="shared" ref="J55:Z55" si="10">(J52-J53)</f>
        <v>-1.108522727272728</v>
      </c>
      <c r="K55" s="74">
        <f t="shared" si="10"/>
        <v>0.23753460654122449</v>
      </c>
      <c r="L55" s="74">
        <f t="shared" si="10"/>
        <v>-1.4065331536638581E-2</v>
      </c>
      <c r="M55" s="74">
        <f t="shared" si="10"/>
        <v>0.46499768910799588</v>
      </c>
      <c r="N55" s="74">
        <f t="shared" si="10"/>
        <v>-1.9331437579204405</v>
      </c>
      <c r="O55" s="74">
        <f t="shared" si="10"/>
        <v>-2.3919371275051731</v>
      </c>
      <c r="P55" s="74">
        <f t="shared" si="10"/>
        <v>-2.2942457807534495</v>
      </c>
      <c r="Q55" s="74">
        <f t="shared" si="10"/>
        <v>-2.6825487944890938</v>
      </c>
      <c r="R55" s="74">
        <f t="shared" si="10"/>
        <v>-3.7745930974387711</v>
      </c>
      <c r="S55" s="74">
        <f t="shared" si="10"/>
        <v>-1.5732104559724007</v>
      </c>
      <c r="T55" s="74">
        <f t="shared" si="10"/>
        <v>-3.4961946834069586</v>
      </c>
      <c r="U55" s="74">
        <f t="shared" si="10"/>
        <v>-2.2524293470694694</v>
      </c>
      <c r="V55" s="74">
        <f t="shared" si="10"/>
        <v>-0.55327733428037718</v>
      </c>
      <c r="W55" s="74">
        <f t="shared" si="10"/>
        <v>-3.9769560091828495</v>
      </c>
      <c r="X55" s="74">
        <f t="shared" si="10"/>
        <v>-1.7520649493649287</v>
      </c>
      <c r="Y55" s="74">
        <f t="shared" si="10"/>
        <v>-0.57258272187146275</v>
      </c>
      <c r="Z55" s="74">
        <f t="shared" si="10"/>
        <v>2.1148202243699288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Shropshire</v>
      </c>
      <c r="G60" s="88"/>
      <c r="H60" s="89"/>
      <c r="I60" s="76">
        <f>VLOOKUP($F60,DISABILITY!$A$718:$I$1052,DISABILITY!B$1053,FALSE)</f>
        <v>28.599999999999994</v>
      </c>
      <c r="J60" s="77">
        <f>VLOOKUP($F60,DISABILITY!$A$718:$I$1052,DISABILITY!C$1053,FALSE)</f>
        <v>26.200000000000003</v>
      </c>
      <c r="K60" s="77">
        <f>VLOOKUP($F60,DISABILITY!$A$718:$I$1052,DISABILITY!D$1053,FALSE)</f>
        <v>35.400000000000006</v>
      </c>
      <c r="L60" s="77">
        <f>VLOOKUP($F60,DISABILITY!$A$718:$I$1052,DISABILITY!E$1053,FALSE)</f>
        <v>32.5</v>
      </c>
      <c r="M60" s="77">
        <f>VLOOKUP($F60,DISABILITY!$A$718:$I$1052,DISABILITY!F$1053,FALSE)</f>
        <v>21.900000000000006</v>
      </c>
      <c r="N60" s="77">
        <f>VLOOKUP($F60,DISABILITY!$A$718:$I$1052,DISABILITY!G$1053,FALSE)</f>
        <v>26.1</v>
      </c>
      <c r="O60" s="77">
        <f>VLOOKUP($F60,DISABILITY!$A$718:$I$1052,DISABILITY!H$1053,FALSE)</f>
        <v>33</v>
      </c>
      <c r="P60" s="77">
        <f>VLOOKUP($F60,DISABILITY!$A$718:$I$1052,DISABILITY!I$1053,FALSE)</f>
        <v>19.300000000000004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Shropshire to Rural as a Region</v>
      </c>
      <c r="G63" s="122"/>
      <c r="H63" s="123"/>
      <c r="I63" s="74">
        <f>(I60-I61)</f>
        <v>1.179843459352746</v>
      </c>
      <c r="J63" s="74">
        <f t="shared" ref="J63:P63" si="12">(J60-J61)</f>
        <v>-1.1190444070511845</v>
      </c>
      <c r="K63" s="74">
        <f t="shared" si="12"/>
        <v>7.2808716385018002</v>
      </c>
      <c r="L63" s="74">
        <f t="shared" si="12"/>
        <v>6.5090654610033241</v>
      </c>
      <c r="M63" s="74">
        <f t="shared" si="12"/>
        <v>-3.5752258186661123</v>
      </c>
      <c r="N63" s="74">
        <f t="shared" si="12"/>
        <v>0.56875231455801867</v>
      </c>
      <c r="O63" s="74">
        <f t="shared" si="12"/>
        <v>9.2027777120030549</v>
      </c>
      <c r="P63" s="74">
        <f t="shared" si="12"/>
        <v>-6.0541779303421706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Shropshire</v>
      </c>
      <c r="G68" s="88"/>
      <c r="H68" s="89"/>
      <c r="I68" s="76">
        <f>VLOOKUP($F68,'WORKLESS HOUSEHOLDS'!$DW$4:$EC$397,7,FALSE)</f>
        <v>10.441698976130638</v>
      </c>
      <c r="J68" s="77">
        <f>VLOOKUP($F68,'WORKLESS HOUSEHOLDS'!$DN$4:$DT$397,7,FALSE)</f>
        <v>9.0828066615733629</v>
      </c>
      <c r="K68" s="77">
        <f>VLOOKUP($F68,'WORKLESS HOUSEHOLDS'!$DE$4:$DK$397,7,FALSE)</f>
        <v>8.5880108916554256</v>
      </c>
      <c r="L68" s="77">
        <f>VLOOKUP($F68,'WORKLESS HOUSEHOLDS'!$CV$4:$DB$397,7,FALSE)</f>
        <v>9.2067042384921685</v>
      </c>
      <c r="M68" s="77">
        <f>VLOOKUP($F68,'WORKLESS HOUSEHOLDS'!$CM$4:$CS$397,7,FALSE)</f>
        <v>7.7290081436463929</v>
      </c>
      <c r="N68" s="77">
        <f>VLOOKUP($F68,'WORKLESS HOUSEHOLDS'!$CD$4:$CJ$397,7,FALSE)</f>
        <v>8.5179675878806851</v>
      </c>
      <c r="O68" s="77">
        <f>VLOOKUP($F68,'WORKLESS HOUSEHOLDS'!$BU$4:$CA$397,7,FALSE)</f>
        <v>9.3950271984495775</v>
      </c>
      <c r="P68" s="77">
        <f>VLOOKUP($F68,'WORKLESS HOUSEHOLDS'!$BL$4:$BR$397,7,FALSE)</f>
        <v>6.5095446304788309</v>
      </c>
      <c r="Q68" s="77">
        <f>VLOOKUP($F68,'WORKLESS HOUSEHOLDS'!$BC$4:$BI$397,7,FALSE)</f>
        <v>10.643153526970954</v>
      </c>
      <c r="R68" s="77">
        <f>VLOOKUP($F68,'WORKLESS HOUSEHOLDS'!$AT$4:$AZ$397,7,FALSE)</f>
        <v>7.6256960366852287</v>
      </c>
      <c r="S68" s="77">
        <f>VLOOKUP($F68,'WORKLESS HOUSEHOLDS'!$AK$4:$AQ$397,7,FALSE)</f>
        <v>6.9877921832118854</v>
      </c>
      <c r="T68" s="77">
        <f>VLOOKUP($F68,'WORKLESS HOUSEHOLDS'!$AB$4:$AH$397,7,FALSE)</f>
        <v>9.5463406325113098</v>
      </c>
      <c r="U68" s="77">
        <f>VLOOKUP($F68,'WORKLESS HOUSEHOLDS'!$S$4:$Y$397,7,FALSE)</f>
        <v>6.9945606374013636</v>
      </c>
      <c r="V68" s="77">
        <f>VLOOKUP($F68,'WORKLESS HOUSEHOLDS'!$J$4:$P$397,7,FALSE)</f>
        <v>9.1427929866581845</v>
      </c>
      <c r="W68" s="77">
        <f>VLOOKUP($F68,'WORKLESS HOUSEHOLDS'!$B$4:$H$397,7,FALSE)</f>
        <v>11.407658452776012</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Shropshire to Rural as a Region</v>
      </c>
      <c r="G71" s="122"/>
      <c r="H71" s="123"/>
      <c r="I71" s="74">
        <f>(I68-I69)</f>
        <v>0.42975311354394741</v>
      </c>
      <c r="J71" s="74">
        <f t="shared" ref="J71:W71" si="14">(J68-J69)</f>
        <v>-1.8283481759016613</v>
      </c>
      <c r="K71" s="74">
        <f t="shared" si="14"/>
        <v>-1.7052348375004183</v>
      </c>
      <c r="L71" s="74">
        <f t="shared" si="14"/>
        <v>-1.759302422837564</v>
      </c>
      <c r="M71" s="74">
        <f t="shared" si="14"/>
        <v>-3.9647710375420804</v>
      </c>
      <c r="N71" s="74">
        <f t="shared" si="14"/>
        <v>-3.3831320913746961</v>
      </c>
      <c r="O71" s="74">
        <f t="shared" si="14"/>
        <v>-1.6402260492929344</v>
      </c>
      <c r="P71" s="74">
        <f t="shared" si="14"/>
        <v>-3.1819532552890069</v>
      </c>
      <c r="Q71" s="74">
        <f t="shared" si="14"/>
        <v>-0.16202473342745805</v>
      </c>
      <c r="R71" s="74">
        <f t="shared" si="14"/>
        <v>-3.0804002870443252</v>
      </c>
      <c r="S71" s="74">
        <f t="shared" si="14"/>
        <v>-3.1649526449369958</v>
      </c>
      <c r="T71" s="74">
        <f t="shared" si="14"/>
        <v>-0.35732756212144068</v>
      </c>
      <c r="U71" s="74">
        <f t="shared" si="14"/>
        <v>-3.7674895272781121</v>
      </c>
      <c r="V71" s="74">
        <f t="shared" si="14"/>
        <v>-0.79607548988146348</v>
      </c>
      <c r="W71" s="74">
        <f t="shared" si="14"/>
        <v>1.0549570295918187</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Shropshire</v>
      </c>
      <c r="G76" s="88"/>
      <c r="H76" s="89"/>
      <c r="I76" s="76">
        <f>VLOOKUP($F76,'SKILLED EMPLOYMENT'!$A$1506:$BW$1841,6,FALSE)</f>
        <v>51.2</v>
      </c>
      <c r="J76" s="77">
        <f>VLOOKUP($F76,'SKILLED EMPLOYMENT'!$A$1506:$BW$1841,10,FALSE)</f>
        <v>50.399999999999991</v>
      </c>
      <c r="K76" s="77">
        <f>VLOOKUP($F76,'SKILLED EMPLOYMENT'!$A$1506:$BW$1841,14,FALSE)</f>
        <v>53</v>
      </c>
      <c r="L76" s="77">
        <f>VLOOKUP($F76,'SKILLED EMPLOYMENT'!$A$1506:$BW$1841,18,FALSE)</f>
        <v>57.8</v>
      </c>
      <c r="M76" s="77">
        <f>VLOOKUP($F76,'SKILLED EMPLOYMENT'!$A$1506:$BW$1841,22,FALSE)</f>
        <v>54.6</v>
      </c>
      <c r="N76" s="77">
        <f>VLOOKUP($F76,'SKILLED EMPLOYMENT'!$A$1506:$BW$1841,26,FALSE)</f>
        <v>54.300000000000004</v>
      </c>
      <c r="O76" s="77">
        <f>VLOOKUP($F76,'SKILLED EMPLOYMENT'!$A$1506:$BW$1841,30,FALSE)</f>
        <v>53.800000000000004</v>
      </c>
      <c r="P76" s="77">
        <f>VLOOKUP($F76,'SKILLED EMPLOYMENT'!$A$1506:$BW$1841,34,FALSE)</f>
        <v>50.999999999999993</v>
      </c>
      <c r="Q76" s="77">
        <f>VLOOKUP($F76,'SKILLED EMPLOYMENT'!$A$1506:$BW$1841,38,FALSE)</f>
        <v>49.8</v>
      </c>
      <c r="R76" s="77">
        <f>VLOOKUP($F76,'SKILLED EMPLOYMENT'!$A$1506:$BW$1841,42,FALSE)</f>
        <v>51.9</v>
      </c>
      <c r="S76" s="77">
        <f>VLOOKUP($F76,'SKILLED EMPLOYMENT'!$A$1506:$BW$1841,46,FALSE)</f>
        <v>54.100000000000009</v>
      </c>
      <c r="T76" s="77">
        <f>VLOOKUP($F76,'SKILLED EMPLOYMENT'!$A$1506:$BW$1841,50,FALSE)</f>
        <v>53.300000000000004</v>
      </c>
      <c r="U76" s="77">
        <f>VLOOKUP($F76,'SKILLED EMPLOYMENT'!$A$1506:$BW$1841,54,FALSE)</f>
        <v>53.7</v>
      </c>
      <c r="V76" s="77">
        <f>VLOOKUP($F76,'SKILLED EMPLOYMENT'!$A$1506:$BW$1841,58,FALSE)</f>
        <v>55.4</v>
      </c>
      <c r="W76" s="77">
        <f>VLOOKUP($F76,'SKILLED EMPLOYMENT'!$A$1506:$BW$1841,62,FALSE)</f>
        <v>57.900000000000006</v>
      </c>
      <c r="X76" s="77">
        <f>VLOOKUP($F76,'SKILLED EMPLOYMENT'!$A$1506:$BW$1841,66,FALSE)</f>
        <v>61.599999999999994</v>
      </c>
      <c r="Y76" s="77">
        <f>VLOOKUP($F76,'SKILLED EMPLOYMENT'!$A$1506:$BW$1841,70,FALSE)</f>
        <v>58.7</v>
      </c>
      <c r="Z76" s="77">
        <f>VLOOKUP($F76,'SKILLED EMPLOYMENT'!$A$1506:$BW$1841,74,FALSE)</f>
        <v>60.6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Shropshire to Rural as a Region</v>
      </c>
      <c r="G79" s="122"/>
      <c r="H79" s="123"/>
      <c r="I79" s="74">
        <f>(I76-I77)</f>
        <v>-1.5</v>
      </c>
      <c r="J79" s="74">
        <f t="shared" ref="J79:Z79" si="17">(J76-J77)</f>
        <v>-2.5000000000000071</v>
      </c>
      <c r="K79" s="74">
        <f t="shared" si="17"/>
        <v>-0.5</v>
      </c>
      <c r="L79" s="74">
        <f t="shared" si="17"/>
        <v>3.7999999999999972</v>
      </c>
      <c r="M79" s="74">
        <f t="shared" si="17"/>
        <v>0.5</v>
      </c>
      <c r="N79" s="74">
        <f t="shared" si="17"/>
        <v>-9.9999999999994316E-2</v>
      </c>
      <c r="O79" s="74">
        <f t="shared" si="17"/>
        <v>-1.5999999999999943</v>
      </c>
      <c r="P79" s="74">
        <f t="shared" si="17"/>
        <v>-4.6000000000000085</v>
      </c>
      <c r="Q79" s="74">
        <f t="shared" si="17"/>
        <v>-5.6000000000000014</v>
      </c>
      <c r="R79" s="74">
        <f t="shared" si="17"/>
        <v>-4.3000000000000043</v>
      </c>
      <c r="S79" s="74">
        <f t="shared" si="17"/>
        <v>-2.0999999999999943</v>
      </c>
      <c r="T79" s="74">
        <f t="shared" si="17"/>
        <v>-3.4999999999999929</v>
      </c>
      <c r="U79" s="74">
        <f t="shared" si="17"/>
        <v>-2.8999999999999986</v>
      </c>
      <c r="V79" s="74">
        <f t="shared" si="17"/>
        <v>-1.7000000000000028</v>
      </c>
      <c r="W79" s="74">
        <f t="shared" si="17"/>
        <v>0.10000000000000853</v>
      </c>
      <c r="X79" s="74">
        <f t="shared" si="17"/>
        <v>2.7999999999999972</v>
      </c>
      <c r="Y79" s="74">
        <f t="shared" si="17"/>
        <v>0</v>
      </c>
      <c r="Z79" s="74">
        <f t="shared" si="17"/>
        <v>2.2000000000000028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72pBgg6ixtfInCdfAGuWrwWYQxiMu2XU7MxWx+lukycDG/ANURCMPC0LX1DrIOQil3ncq7jY5cjdRZILoMdV5g==" saltValue="MmbWouDw6KWgnGFkQalVu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2022-08-02T13:17:13Z</dcterms:modified>
</cp:coreProperties>
</file>