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2" documentId="8_{C3D04695-581A-4466-8425-35C2982A4DFF}" xr6:coauthVersionLast="47" xr6:coauthVersionMax="47" xr10:uidLastSave="{DDE2ECC6-9FE0-4C76-9D89-640249788910}"/>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<sst xmlns="http://schemas.openxmlformats.org/spreadsheetml/2006/main" count="32859" uniqueCount="1676">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</sst>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South Hams</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23.53</c:v>
                </c:pt>
                <c:pt idx="1">
                  <c:v>23.44</c:v>
                </c:pt>
                <c:pt idx="2">
                  <c:v>24.4</c:v>
                </c:pt>
                <c:pt idx="3">
                  <c:v>24.95</c:v>
                </c:pt>
                <c:pt idx="4">
                  <c:v>25.33</c:v>
                </c:pt>
                <c:pt idx="5">
                  <c:v>25.5</c:v>
                </c:pt>
                <c:pt idx="6">
                  <c:v>25.52</c:v>
                </c:pt>
                <c:pt idx="7">
                  <c:v>25.68</c:v>
                </c:pt>
                <c:pt idx="8">
                  <c:v>26.18</c:v>
                </c:pt>
                <c:pt idx="9">
                  <c:v>27.23</c:v>
                </c:pt>
                <c:pt idx="10">
                  <c:v>28.35</c:v>
                </c:pt>
                <c:pt idx="11">
                  <c:v>29.1</c:v>
                </c:pt>
                <c:pt idx="12">
                  <c:v>29.19</c:v>
                </c:pt>
                <c:pt idx="13">
                  <c:v>29.11</c:v>
                </c:pt>
                <c:pt idx="14">
                  <c:v>29.16</c:v>
                </c:pt>
                <c:pt idx="15">
                  <c:v>29.38</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South Hams</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411.9</c:v>
                </c:pt>
                <c:pt idx="1">
                  <c:v>412.8</c:v>
                </c:pt>
                <c:pt idx="2">
                  <c:v>401.7</c:v>
                </c:pt>
                <c:pt idx="3">
                  <c:v>383.8</c:v>
                </c:pt>
                <c:pt idx="4">
                  <c:v>386.7</c:v>
                </c:pt>
                <c:pt idx="5">
                  <c:v>397.2</c:v>
                </c:pt>
                <c:pt idx="6">
                  <c:v>431.8</c:v>
                </c:pt>
                <c:pt idx="7">
                  <c:v>432.5</c:v>
                </c:pt>
                <c:pt idx="8">
                  <c:v>447.8</c:v>
                </c:pt>
                <c:pt idx="9">
                  <c:v>476.2</c:v>
                </c:pt>
                <c:pt idx="10">
                  <c:v>510</c:v>
                </c:pt>
                <c:pt idx="11">
                  <c:v>494.6</c:v>
                </c:pt>
                <c:pt idx="12">
                  <c:v>479.3</c:v>
                </c:pt>
                <c:pt idx="13">
                  <c:v>563.70000000000005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South Hams</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74.7</c:v>
                </c:pt>
                <c:pt idx="1">
                  <c:v>77.599999999999994</c:v>
                </c:pt>
                <c:pt idx="2">
                  <c:v>81.900000000000006</c:v>
                </c:pt>
                <c:pt idx="3">
                  <c:v>81.2</c:v>
                </c:pt>
                <c:pt idx="4">
                  <c:v>74.900000000000006</c:v>
                </c:pt>
                <c:pt idx="5">
                  <c:v>74.3</c:v>
                </c:pt>
                <c:pt idx="6">
                  <c:v>73.900000000000006</c:v>
                </c:pt>
                <c:pt idx="7">
                  <c:v>79.099999999999994</c:v>
                </c:pt>
                <c:pt idx="8">
                  <c:v>79.099999999999994</c:v>
                </c:pt>
                <c:pt idx="9">
                  <c:v>77.900000000000006</c:v>
                </c:pt>
                <c:pt idx="10">
                  <c:v>70.5</c:v>
                </c:pt>
                <c:pt idx="11">
                  <c:v>71</c:v>
                </c:pt>
                <c:pt idx="12">
                  <c:v>77</c:v>
                </c:pt>
                <c:pt idx="13">
                  <c:v>81.8</c:v>
                </c:pt>
                <c:pt idx="14">
                  <c:v>79.099999999999994</c:v>
                </c:pt>
                <c:pt idx="15">
                  <c:v>78.7</c:v>
                </c:pt>
                <c:pt idx="16">
                  <c:v>76.2</c:v>
                </c:pt>
                <c:pt idx="17">
                  <c:v>79.099999999999994</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South Hams</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15615</c:v>
                </c:pt>
                <c:pt idx="1">
                  <c:v>16575</c:v>
                </c:pt>
                <c:pt idx="2">
                  <c:v>17248</c:v>
                </c:pt>
                <c:pt idx="3">
                  <c:v>18058</c:v>
                </c:pt>
                <c:pt idx="4">
                  <c:v>19149</c:v>
                </c:pt>
                <c:pt idx="5">
                  <c:v>19013</c:v>
                </c:pt>
                <c:pt idx="6">
                  <c:v>19103</c:v>
                </c:pt>
                <c:pt idx="7">
                  <c:v>19246</c:v>
                </c:pt>
                <c:pt idx="8">
                  <c:v>19830</c:v>
                </c:pt>
                <c:pt idx="9">
                  <c:v>20348</c:v>
                </c:pt>
                <c:pt idx="10">
                  <c:v>20999</c:v>
                </c:pt>
                <c:pt idx="11">
                  <c:v>22259</c:v>
                </c:pt>
                <c:pt idx="12">
                  <c:v>22451</c:v>
                </c:pt>
                <c:pt idx="13">
                  <c:v>22620</c:v>
                </c:pt>
                <c:pt idx="14">
                  <c:v>23824</c:v>
                </c:pt>
                <c:pt idx="15">
                  <c:v>23927</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South Hams</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27.3</c:v>
                </c:pt>
                <c:pt idx="1">
                  <c:v>26.5</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South Hams</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23.1</c:v>
                </c:pt>
                <c:pt idx="1">
                  <c:v>20.5</c:v>
                </c:pt>
                <c:pt idx="2">
                  <c:v>16.600000000000001</c:v>
                </c:pt>
                <c:pt idx="3">
                  <c:v>17.2</c:v>
                </c:pt>
                <c:pt idx="4">
                  <c:v>23.2</c:v>
                </c:pt>
                <c:pt idx="5">
                  <c:v>22.6</c:v>
                </c:pt>
                <c:pt idx="6">
                  <c:v>23</c:v>
                </c:pt>
                <c:pt idx="7">
                  <c:v>19.3</c:v>
                </c:pt>
                <c:pt idx="8">
                  <c:v>16.2</c:v>
                </c:pt>
                <c:pt idx="9">
                  <c:v>17.8</c:v>
                </c:pt>
                <c:pt idx="10">
                  <c:v>22.8</c:v>
                </c:pt>
                <c:pt idx="11">
                  <c:v>27.3</c:v>
                </c:pt>
                <c:pt idx="12">
                  <c:v>20.8</c:v>
                </c:pt>
                <c:pt idx="13">
                  <c:v>18.2</c:v>
                </c:pt>
                <c:pt idx="14">
                  <c:v>16.5</c:v>
                </c:pt>
                <c:pt idx="15">
                  <c:v>19.899999999999999</c:v>
                </c:pt>
                <c:pt idx="16">
                  <c:v>18.399999999999999</c:v>
                </c:pt>
                <c:pt idx="17">
                  <c:v>19.7</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South Hams</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6.5999999999999943</c:v>
                </c:pt>
                <c:pt idx="1">
                  <c:v>35.9</c:v>
                </c:pt>
                <c:pt idx="2">
                  <c:v>9.2000000000000028</c:v>
                </c:pt>
                <c:pt idx="3">
                  <c:v>12.300000000000011</c:v>
                </c:pt>
                <c:pt idx="4">
                  <c:v>28</c:v>
                </c:pt>
                <c:pt idx="5">
                  <c:v>31.600000000000009</c:v>
                </c:pt>
                <c:pt idx="6">
                  <c:v>5.2999999999999972</c:v>
                </c:pt>
                <c:pt idx="7">
                  <c:v>17.200000000000003</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South Hams</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8.6508740258024748</c:v>
                </c:pt>
                <c:pt idx="1">
                  <c:v>8.3626692799180837</c:v>
                </c:pt>
                <c:pt idx="2">
                  <c:v>11.37193624815154</c:v>
                </c:pt>
                <c:pt idx="3">
                  <c:v>17.2551750923902</c:v>
                </c:pt>
                <c:pt idx="4">
                  <c:v>0</c:v>
                </c:pt>
                <c:pt idx="5">
                  <c:v>0</c:v>
                </c:pt>
                <c:pt idx="6">
                  <c:v>7.4394083620121547</c:v>
                </c:pt>
                <c:pt idx="7">
                  <c:v>7.885208528899021</c:v>
                </c:pt>
                <c:pt idx="8">
                  <c:v>0</c:v>
                </c:pt>
                <c:pt idx="9">
                  <c:v>0</c:v>
                </c:pt>
                <c:pt idx="10">
                  <c:v>8.5271317829457356</c:v>
                </c:pt>
                <c:pt idx="11">
                  <c:v>0</c:v>
                </c:pt>
                <c:pt idx="12">
                  <c:v>0</c:v>
                </c:pt>
                <c:pt idx="13">
                  <c:v>15.634600942172458</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South Hams</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54.4</c:v>
                </c:pt>
                <c:pt idx="1">
                  <c:v>54.5</c:v>
                </c:pt>
                <c:pt idx="2">
                  <c:v>58.400000000000006</c:v>
                </c:pt>
                <c:pt idx="3">
                  <c:v>58.8</c:v>
                </c:pt>
                <c:pt idx="4">
                  <c:v>60</c:v>
                </c:pt>
                <c:pt idx="5">
                  <c:v>61.7</c:v>
                </c:pt>
                <c:pt idx="6">
                  <c:v>65.099999999999994</c:v>
                </c:pt>
                <c:pt idx="7">
                  <c:v>67.599999999999994</c:v>
                </c:pt>
                <c:pt idx="8">
                  <c:v>63.2</c:v>
                </c:pt>
                <c:pt idx="9">
                  <c:v>57.900000000000006</c:v>
                </c:pt>
                <c:pt idx="10">
                  <c:v>66.600000000000009</c:v>
                </c:pt>
                <c:pt idx="11">
                  <c:v>67</c:v>
                </c:pt>
                <c:pt idx="12">
                  <c:v>60</c:v>
                </c:pt>
                <c:pt idx="13">
                  <c:v>61.900000000000006</c:v>
                </c:pt>
                <c:pt idx="14">
                  <c:v>69.100000000000009</c:v>
                </c:pt>
                <c:pt idx="15">
                  <c:v>71.100000000000009</c:v>
                </c:pt>
                <c:pt idx="16">
                  <c:v>67.099999999999994</c:v>
                </c:pt>
                <c:pt idx="17">
                  <c:v>63.5</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30</xdr:row>
      <xdr:rowOff>182880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9448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South Hams has </a:t>
          </a:r>
          <a:r>
            <a:rPr lang="en-GB" sz="1100" baseline="0">
              <a:solidFill>
                <a:schemeClr val="dk1"/>
              </a:solidFill>
              <a:effectLst/>
              <a:latin typeface="Avenir Next LT Pro" panose="020B0504020202020204" pitchFamily="34" charset="0"/>
              <a:ea typeface="+mn-ea"/>
              <a:cs typeface="+mn-cs"/>
            </a:rPr>
            <a:t>generally </a:t>
          </a:r>
          <a:r>
            <a:rPr lang="en-GB" sz="1100" baseline="0">
              <a:latin typeface="Avenir Next LT Pro" panose="020B0504020202020204" pitchFamily="34" charset="0"/>
            </a:rPr>
            <a:t>been greater than the England situation between 2004 and 2021, however year on year fluctuations have seen it move at times above and at times below the rural situation.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within South Hams has increased from 2004 to 2019 at a rate greater than 'Rural as a Region' resulting in a widening gap.</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dropping between 2017 and 2018 for the South Hams, it's proportion remained above that seen for rural on average.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South Hams economic inactivity rate has fluctuated taking it both above as well as below the proportions seen for </a:t>
          </a:r>
          <a:r>
            <a:rPr lang="en-GB" sz="1100">
              <a:latin typeface="Avenir Next LT Pro" panose="020B0504020202020204" pitchFamily="34" charset="0"/>
            </a:rPr>
            <a:t>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South Hams shows no real pattern of change with some significant fluctuations from year to year.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South Hams, where data has been available, shows very little pattern of change.</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South Hams from 2004 to 2021 has consistently had a higher proportion of employed people in skilled employment than seen for 'Rural as a Region'.</a:t>
          </a:r>
          <a:endParaRPr lang="en-GB" sz="1100">
            <a:latin typeface="Avenir Next LT Pro" panose="020B0504020202020204" pitchFamily="34" charset="0"/>
          </a:endParaRPr>
        </a:p>
      </xdr:txBody>
    </xdr:sp>
    <xdr:clientData/>
  </xdr:twoCellAnchor>
  <xdr:twoCellAnchor>
    <xdr:from>
      <xdr:col>0</xdr:col>
      <xdr:colOff>609600</xdr:colOff>
      <xdr:row>20</xdr:row>
      <xdr:rowOff>617220</xdr:rowOff>
    </xdr:from>
    <xdr:to>
      <xdr:col>1</xdr:col>
      <xdr:colOff>2590800</xdr:colOff>
      <xdr:row>22</xdr:row>
      <xdr:rowOff>144780</xdr:rowOff>
    </xdr:to>
    <xdr:sp macro="" textlink="">
      <xdr:nvSpPr>
        <xdr:cNvPr id="20" name="TextBox 19">
          <a:extLst>
            <a:ext uri="{FF2B5EF4-FFF2-40B4-BE49-F238E27FC236}">
              <a16:creationId xmlns:a16="http://schemas.microsoft.com/office/drawing/2014/main" id="{BD8FA01E-D04A-4BDF-AA34-CA8154443F4C}"/>
            </a:ext>
          </a:extLst>
        </xdr:cNvPr>
        <xdr:cNvSpPr txBox="1"/>
      </xdr:nvSpPr>
      <xdr:spPr>
        <a:xfrm>
          <a:off x="609600" y="754380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South Hams in 2008 was lower than both the rural and England situations, however with a greater rate of increase overall to 2021, it reached the same level as 'Rural as a Region'.</a:t>
          </a:r>
          <a:endParaRPr lang="en-GB" sz="1100">
            <a:latin typeface="Avenir Next LT Pro" panose="020B0504020202020204" pitchFamily="34" charset="0"/>
          </a:endParaRPr>
        </a:p>
      </xdr:txBody>
    </xdr:sp>
    <xdr:clientData/>
  </xdr:twoCellAnchor>
  <xdr:twoCellAnchor>
    <xdr:from>
      <xdr:col>0</xdr:col>
      <xdr:colOff>579120</xdr:colOff>
      <xdr:row>12</xdr:row>
      <xdr:rowOff>510540</xdr:rowOff>
    </xdr:from>
    <xdr:to>
      <xdr:col>1</xdr:col>
      <xdr:colOff>2560320</xdr:colOff>
      <xdr:row>14</xdr:row>
      <xdr:rowOff>15240</xdr:rowOff>
    </xdr:to>
    <xdr:sp macro="" textlink="">
      <xdr:nvSpPr>
        <xdr:cNvPr id="21" name="TextBox 20">
          <a:extLst>
            <a:ext uri="{FF2B5EF4-FFF2-40B4-BE49-F238E27FC236}">
              <a16:creationId xmlns:a16="http://schemas.microsoft.com/office/drawing/2014/main" id="{8988694A-D608-4709-A208-1E73EDF2ED1D}"/>
            </a:ext>
          </a:extLst>
        </xdr:cNvPr>
        <xdr:cNvSpPr txBox="1"/>
      </xdr:nvSpPr>
      <xdr:spPr>
        <a:xfrm>
          <a:off x="579120" y="34975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South Hams follows a very similar path to the rural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437</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South Hams</v>
      </c>
      <c r="G12" s="88" t="str">
        <f>IFERROR(VLOOKUP(F12,GVA!B244:B552,1,FALSE),VLOOKUP(F12,GVA!B6:C230,2,FALSE))</f>
        <v>South Hams</v>
      </c>
      <c r="H12" s="89" t="str">
        <f>IF(F12=G12,"",G12)</f>
        <v/>
      </c>
      <c r="I12" s="76">
        <f>IFERROR(VLOOKUP($F12,GVA!$B$7:$S$230,GVA!D$3,FALSE),VLOOKUP($F12,GVA!$B$244:$T$554,GVA!E$3,FALSE))</f>
        <v>23.53</v>
      </c>
      <c r="J12" s="77">
        <f>IFERROR(VLOOKUP($F12,GVA!$B$7:$S$230,GVA!E$3,FALSE),VLOOKUP($F12,GVA!$B$244:$T$554,GVA!F$3,FALSE))</f>
        <v>23.44</v>
      </c>
      <c r="K12" s="77">
        <f>IFERROR(VLOOKUP($F12,GVA!$B$7:$S$230,GVA!F$3,FALSE),VLOOKUP($F12,GVA!$B$244:$T$554,GVA!G$3,FALSE))</f>
        <v>24.4</v>
      </c>
      <c r="L12" s="77">
        <f>IFERROR(VLOOKUP($F12,GVA!$B$7:$S$230,GVA!G$3,FALSE),VLOOKUP($F12,GVA!$B$244:$T$554,GVA!H$3,FALSE))</f>
        <v>24.95</v>
      </c>
      <c r="M12" s="77">
        <f>IFERROR(VLOOKUP($F12,GVA!$B$7:$S$230,GVA!H$3,FALSE),VLOOKUP($F12,GVA!$B$244:$T$554,GVA!I$3,FALSE))</f>
        <v>25.33</v>
      </c>
      <c r="N12" s="77">
        <f>IFERROR(VLOOKUP($F12,GVA!$B$7:$S$230,GVA!I$3,FALSE),VLOOKUP($F12,GVA!$B$244:$T$554,GVA!J$3,FALSE))</f>
        <v>25.5</v>
      </c>
      <c r="O12" s="77">
        <f>IFERROR(VLOOKUP($F12,GVA!$B$7:$S$230,GVA!J$3,FALSE),VLOOKUP($F12,GVA!$B$244:$T$554,GVA!K$3,FALSE))</f>
        <v>25.52</v>
      </c>
      <c r="P12" s="77">
        <f>IFERROR(VLOOKUP($F12,GVA!$B$7:$S$230,GVA!K$3,FALSE),VLOOKUP($F12,GVA!$B$244:$T$554,GVA!L$3,FALSE))</f>
        <v>25.68</v>
      </c>
      <c r="Q12" s="77">
        <f>IFERROR(VLOOKUP($F12,GVA!$B$7:$S$230,GVA!L$3,FALSE),VLOOKUP($F12,GVA!$B$244:$T$554,GVA!M$3,FALSE))</f>
        <v>26.18</v>
      </c>
      <c r="R12" s="77">
        <f>IFERROR(VLOOKUP($F12,GVA!$B$7:$S$230,GVA!M$3,FALSE),VLOOKUP($F12,GVA!$B$244:$T$554,GVA!N$3,FALSE))</f>
        <v>27.23</v>
      </c>
      <c r="S12" s="77">
        <f>IFERROR(VLOOKUP($F12,GVA!$B$7:$S$230,GVA!N$3,FALSE),VLOOKUP($F12,GVA!$B$244:$T$554,GVA!O$3,FALSE))</f>
        <v>28.35</v>
      </c>
      <c r="T12" s="77">
        <f>IFERROR(VLOOKUP($F12,GVA!$B$7:$S$230,GVA!O$3,FALSE),VLOOKUP($F12,GVA!$B$244:$T$554,GVA!P$3,FALSE))</f>
        <v>29.1</v>
      </c>
      <c r="U12" s="77">
        <f>IFERROR(VLOOKUP($F12,GVA!$B$7:$S$230,GVA!P$3,FALSE),VLOOKUP($F12,GVA!$B$244:$T$554,GVA!Q$3,FALSE))</f>
        <v>29.19</v>
      </c>
      <c r="V12" s="77">
        <f>IFERROR(VLOOKUP($F12,GVA!$B$7:$S$230,GVA!Q$3,FALSE),VLOOKUP($F12,GVA!$B$244:$T$554,GVA!R$3,FALSE))</f>
        <v>29.11</v>
      </c>
      <c r="W12" s="77">
        <f>IFERROR(VLOOKUP($F12,GVA!$B$7:$S$230,GVA!R$3,FALSE),VLOOKUP($F12,GVA!$B$244:$T$554,GVA!S$3,FALSE))</f>
        <v>29.16</v>
      </c>
      <c r="X12" s="77">
        <f>IFERROR(VLOOKUP($F12,GVA!$B$7:$S$230,GVA!S$3,FALSE),VLOOKUP($F12,GVA!$B$244:$T$554,GVA!T$3,FALSE))</f>
        <v>29.38</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South Hams to Rural as a Region</v>
      </c>
      <c r="G15" s="122"/>
      <c r="H15" s="123"/>
      <c r="I15" s="74">
        <f>100*((I12-I13)/I13)</f>
        <v>-4.2986391014275101E-2</v>
      </c>
      <c r="J15" s="74">
        <f t="shared" ref="J15:X15" si="0">100*((J12-J13)/J13)</f>
        <v>-0.14808203338945294</v>
      </c>
      <c r="K15" s="74">
        <f t="shared" si="0"/>
        <v>0.3952917664692025</v>
      </c>
      <c r="L15" s="74">
        <f t="shared" si="0"/>
        <v>0.44861103123020346</v>
      </c>
      <c r="M15" s="74">
        <f t="shared" si="0"/>
        <v>0.25869015139736073</v>
      </c>
      <c r="N15" s="74">
        <f t="shared" si="0"/>
        <v>0.10702384902626622</v>
      </c>
      <c r="O15" s="74">
        <f t="shared" si="0"/>
        <v>-1.0473741789260103</v>
      </c>
      <c r="P15" s="74">
        <f t="shared" si="0"/>
        <v>-1.8897788208325803</v>
      </c>
      <c r="Q15" s="74">
        <f t="shared" si="0"/>
        <v>-1.9868966439363682</v>
      </c>
      <c r="R15" s="74">
        <f t="shared" si="0"/>
        <v>0.20634273923268021</v>
      </c>
      <c r="S15" s="74">
        <f t="shared" si="0"/>
        <v>2.625761160454533</v>
      </c>
      <c r="T15" s="74">
        <f t="shared" si="0"/>
        <v>3.3817732740099338</v>
      </c>
      <c r="U15" s="74">
        <f t="shared" si="0"/>
        <v>1.2240382114593371</v>
      </c>
      <c r="V15" s="74">
        <f t="shared" si="0"/>
        <v>-1.7245744830496463</v>
      </c>
      <c r="W15" s="74">
        <f t="shared" si="0"/>
        <v>-3.5535833113489574</v>
      </c>
      <c r="X15" s="74">
        <f t="shared" si="0"/>
        <v>-3.8339093874083998</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South Hams</v>
      </c>
      <c r="G20" s="88"/>
      <c r="H20" s="89"/>
      <c r="I20" s="80">
        <f>IF(VLOOKUP($F20,PAY!$A$11:$AE$349,4,FALSE)="-",#N/A,VLOOKUP($F20,PAY!$A$11:$AE$349,4,FALSE))</f>
        <v>411.9</v>
      </c>
      <c r="J20" s="80">
        <f>IF(VLOOKUP($F20,PAY!$A$11:$AE$349,6,FALSE)="-",#N/A,VLOOKUP($F20,PAY!$A$11:$AE$349,6,FALSE))</f>
        <v>412.8</v>
      </c>
      <c r="K20" s="80">
        <f>IF(VLOOKUP($F20,PAY!$A$11:$AE$349,8,FALSE)="-",#N/A,VLOOKUP($F20,PAY!$A$11:$AE$349,8,FALSE))</f>
        <v>401.7</v>
      </c>
      <c r="L20" s="80">
        <f>IF(VLOOKUP($F20,PAY!$A$11:$AE$349,10,FALSE)="-",#N/A,VLOOKUP($F20,PAY!$A$11:$AE$349,10,FALSE))</f>
        <v>383.8</v>
      </c>
      <c r="M20" s="80">
        <f>IF(VLOOKUP($F20,PAY!$A$11:$AE$349,12,FALSE)="-",#N/A,VLOOKUP($F20,PAY!$A$11:$AE$349,12,FALSE))</f>
        <v>386.7</v>
      </c>
      <c r="N20" s="80">
        <f>IF(VLOOKUP($F20,PAY!$A$11:$AE$349,14,FALSE)="-",#N/A,VLOOKUP($F20,PAY!$A$11:$AE$349,14,FALSE))</f>
        <v>397.2</v>
      </c>
      <c r="O20" s="80">
        <f>IF(VLOOKUP($F20,PAY!$A$11:$AE$349,16,FALSE)="-",#N/A,VLOOKUP($F20,PAY!$A$11:$AE$349,16,FALSE))</f>
        <v>431.8</v>
      </c>
      <c r="P20" s="80">
        <f>IF(VLOOKUP($F20,PAY!$A$11:$AE$349,18,FALSE)="-",#N/A,VLOOKUP($F20,PAY!$A$11:$AE$349,18,FALSE))</f>
        <v>432.5</v>
      </c>
      <c r="Q20" s="80">
        <f>IF(VLOOKUP($F20,PAY!$A$11:$AE$349,20,FALSE)="-",#N/A,VLOOKUP($F20,PAY!$A$11:$AE$349,20,FALSE))</f>
        <v>447.8</v>
      </c>
      <c r="R20" s="80">
        <f>IF(VLOOKUP($F20,PAY!$A$11:$AE$349,22,FALSE)="-",#N/A,VLOOKUP($F20,PAY!$A$11:$AE$349,22,FALSE))</f>
        <v>476.2</v>
      </c>
      <c r="S20" s="80">
        <f>IF(VLOOKUP($F20,PAY!$A$11:$AE$349,24,FALSE)="-",#N/A,VLOOKUP($F20,PAY!$A$11:$AE$349,24,FALSE))</f>
        <v>510</v>
      </c>
      <c r="T20" s="80">
        <f>IF(VLOOKUP($F20,PAY!$A$11:$AE$349,26,FALSE)="-",#N/A,VLOOKUP($F20,PAY!$A$11:$AE$349,26,FALSE))</f>
        <v>494.6</v>
      </c>
      <c r="U20" s="80">
        <f>IF(VLOOKUP($F20,PAY!$A$11:$AE$349,28,FALSE)="-",#N/A,VLOOKUP($F20,PAY!$A$11:$AE$349,28,FALSE))</f>
        <v>479.3</v>
      </c>
      <c r="V20" s="80">
        <f>IF(VLOOKUP($F20,PAY!$A$11:$AE$349,30,FALSE)="-",#N/A,VLOOKUP($F20,PAY!$A$11:$AE$349,30,FALSE))</f>
        <v>563.70000000000005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South Hams to Rural as a Region</v>
      </c>
      <c r="G23" s="122"/>
      <c r="H23" s="123"/>
      <c r="I23" s="74">
        <f>100*((I20-I21)/I21)</f>
        <v>-4.8713106319285311</v>
      </c>
      <c r="J23" s="74">
        <f t="shared" ref="J23:V23" si="2">100*((J20-J21)/J21)</f>
        <v>-5.5215425988441948</v>
      </c>
      <c r="K23" s="74">
        <f t="shared" si="2"/>
        <v>-10.357363795835724</v>
      </c>
      <c r="L23" s="74">
        <f t="shared" si="2"/>
        <v>-14.83472652914474</v>
      </c>
      <c r="M23" s="74">
        <f t="shared" si="2"/>
        <v>-15.056361604039587</v>
      </c>
      <c r="N23" s="74">
        <f t="shared" si="2"/>
        <v>-14.243548889605528</v>
      </c>
      <c r="O23" s="74">
        <f t="shared" si="2"/>
        <v>-8.2842654879629141</v>
      </c>
      <c r="P23" s="74">
        <f t="shared" si="2"/>
        <v>-8.9131425798901152</v>
      </c>
      <c r="Q23" s="74">
        <f t="shared" si="2"/>
        <v>-8.5155847950947994</v>
      </c>
      <c r="R23" s="74">
        <f t="shared" si="2"/>
        <v>-5.5265503948970727</v>
      </c>
      <c r="S23" s="74">
        <f t="shared" si="2"/>
        <v>-0.86030121210252564</v>
      </c>
      <c r="T23" s="74">
        <f t="shared" si="2"/>
        <v>-7.3260065089324824</v>
      </c>
      <c r="U23" s="74">
        <f t="shared" si="2"/>
        <v>-9.7445379676474886</v>
      </c>
      <c r="V23" s="74">
        <f t="shared" si="2"/>
        <v>-9.8221129927362191E-2</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South Hams</v>
      </c>
      <c r="G28" s="88"/>
      <c r="H28" s="89"/>
      <c r="I28" s="76">
        <f>VLOOKUP($F28,EMPLOYMENT!$A$6:$BW$345,6,FALSE)</f>
        <v>74.7</v>
      </c>
      <c r="J28" s="77">
        <f>VLOOKUP($F28,EMPLOYMENT!$A$6:$BW$345,10,FALSE)</f>
        <v>77.599999999999994</v>
      </c>
      <c r="K28" s="77">
        <f>VLOOKUP($F28,EMPLOYMENT!$A$6:$BW$345,14,FALSE)</f>
        <v>81.900000000000006</v>
      </c>
      <c r="L28" s="77">
        <f>VLOOKUP($F28,EMPLOYMENT!$A$6:$BW$345,18,FALSE)</f>
        <v>81.2</v>
      </c>
      <c r="M28" s="77">
        <f>VLOOKUP($F28,EMPLOYMENT!$A$6:$BW$345,22,FALSE)</f>
        <v>74.900000000000006</v>
      </c>
      <c r="N28" s="77">
        <f>VLOOKUP($F28,EMPLOYMENT!$A$6:$BW$345,26,FALSE)</f>
        <v>74.3</v>
      </c>
      <c r="O28" s="77">
        <f>VLOOKUP($F28,EMPLOYMENT!$A$6:$BW$345,30,FALSE)</f>
        <v>73.900000000000006</v>
      </c>
      <c r="P28" s="77">
        <f>VLOOKUP($F28,EMPLOYMENT!$A$6:$BW$345,34,FALSE)</f>
        <v>79.099999999999994</v>
      </c>
      <c r="Q28" s="77">
        <f>VLOOKUP($F28,EMPLOYMENT!$A$6:$BW$345,38,FALSE)</f>
        <v>79.099999999999994</v>
      </c>
      <c r="R28" s="77">
        <f>VLOOKUP($F28,EMPLOYMENT!$A$6:$BW$345,42,FALSE)</f>
        <v>77.900000000000006</v>
      </c>
      <c r="S28" s="77">
        <f>VLOOKUP($F28,EMPLOYMENT!$A$6:$BW$345,46,FALSE)</f>
        <v>70.5</v>
      </c>
      <c r="T28" s="77">
        <f>VLOOKUP($F28,EMPLOYMENT!$A$6:$BW$345,50,FALSE)</f>
        <v>71</v>
      </c>
      <c r="U28" s="77">
        <f>VLOOKUP($F28,EMPLOYMENT!$A$6:$BW$345,54,FALSE)</f>
        <v>77</v>
      </c>
      <c r="V28" s="77">
        <f>VLOOKUP($F28,EMPLOYMENT!$A$6:$BW$345,58,FALSE)</f>
        <v>81.8</v>
      </c>
      <c r="W28" s="77">
        <f>VLOOKUP($F28,EMPLOYMENT!$A$6:$BW$345,62,FALSE)</f>
        <v>79.099999999999994</v>
      </c>
      <c r="X28" s="77">
        <f>VLOOKUP($F28,EMPLOYMENT!$A$6:$BW$345,66,FALSE)</f>
        <v>78.7</v>
      </c>
      <c r="Y28" s="77">
        <f>VLOOKUP($F28,EMPLOYMENT!$A$6:$BW$345,70,FALSE)</f>
        <v>76.2</v>
      </c>
      <c r="Z28" s="77">
        <f>VLOOKUP($F28,EMPLOYMENT!$A$6:$BW$345,74,FALSE)</f>
        <v>79.099999999999994</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South Hams to Rural as a Region</v>
      </c>
      <c r="G31" s="122"/>
      <c r="H31" s="123"/>
      <c r="I31" s="74">
        <f>(I28-I29)</f>
        <v>-1.4113419194017354</v>
      </c>
      <c r="J31" s="74">
        <f t="shared" ref="J31:Z31" si="4">(J28-J29)</f>
        <v>1.2870245333170374</v>
      </c>
      <c r="K31" s="74">
        <f t="shared" si="4"/>
        <v>6.0268111005132425</v>
      </c>
      <c r="L31" s="74">
        <f t="shared" si="4"/>
        <v>5.5595316973721651</v>
      </c>
      <c r="M31" s="74">
        <f t="shared" si="4"/>
        <v>-0.83552437333173657</v>
      </c>
      <c r="N31" s="74">
        <f t="shared" si="4"/>
        <v>-0.20953984287318406</v>
      </c>
      <c r="O31" s="74">
        <f t="shared" si="4"/>
        <v>0.35286686103013665</v>
      </c>
      <c r="P31" s="74">
        <f t="shared" si="4"/>
        <v>5.3657045967223809</v>
      </c>
      <c r="Q31" s="74">
        <f t="shared" si="4"/>
        <v>5.0668425245374209</v>
      </c>
      <c r="R31" s="74">
        <f t="shared" si="4"/>
        <v>3.1555250700997988</v>
      </c>
      <c r="S31" s="74">
        <f t="shared" si="4"/>
        <v>-5.6088603400756085</v>
      </c>
      <c r="T31" s="74">
        <f t="shared" si="4"/>
        <v>-6.1905319756090194</v>
      </c>
      <c r="U31" s="74">
        <f t="shared" si="4"/>
        <v>2.8367518291958049E-2</v>
      </c>
      <c r="V31" s="74">
        <f t="shared" si="4"/>
        <v>3.7672131147540995</v>
      </c>
      <c r="W31" s="74">
        <f t="shared" si="4"/>
        <v>1.0518431065858493</v>
      </c>
      <c r="X31" s="74">
        <f t="shared" si="4"/>
        <v>0.10870062104329747</v>
      </c>
      <c r="Y31" s="74">
        <f t="shared" si="4"/>
        <v>-0.81434629612920162</v>
      </c>
      <c r="Z31" s="74">
        <f t="shared" si="4"/>
        <v>2.9442419221209519</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South Hams</v>
      </c>
      <c r="G36" s="88" t="str">
        <f>IFERROR(VLOOKUP(F36,GDHI!B338:C574,2,FALSE),VLOOKUP(F36,GDHI!C3:C336,1,FALSE))</f>
        <v>South Hams</v>
      </c>
      <c r="H36" s="89" t="str">
        <f>IF(F36=G36,"",G36)</f>
        <v/>
      </c>
      <c r="I36" s="83">
        <f>IFERROR(VLOOKUP($F36,GDHI!$B$338:$U$574,GDHI!G$578,FALSE),VLOOKUP($F36,GDHI!$C$3:$U$336,GDHI!F$578,FALSE))</f>
        <v>15615</v>
      </c>
      <c r="J36" s="84">
        <f>IFERROR(VLOOKUP($F36,GDHI!$B$338:$U$574,GDHI!H$578,FALSE),VLOOKUP($F36,GDHI!$C$3:$U$336,GDHI!G$578,FALSE))</f>
        <v>16575</v>
      </c>
      <c r="K36" s="84">
        <f>IFERROR(VLOOKUP($F36,GDHI!$B$338:$U$574,GDHI!I$578,FALSE),VLOOKUP($F36,GDHI!$C$3:$U$336,GDHI!H$578,FALSE))</f>
        <v>17248</v>
      </c>
      <c r="L36" s="84">
        <f>IFERROR(VLOOKUP($F36,GDHI!$B$338:$U$574,GDHI!J$578,FALSE),VLOOKUP($F36,GDHI!$C$3:$U$336,GDHI!I$578,FALSE))</f>
        <v>18058</v>
      </c>
      <c r="M36" s="84">
        <f>IFERROR(VLOOKUP($F36,GDHI!$B$338:$U$574,GDHI!K$578,FALSE),VLOOKUP($F36,GDHI!$C$3:$U$336,GDHI!J$578,FALSE))</f>
        <v>19149</v>
      </c>
      <c r="N36" s="84">
        <f>IFERROR(VLOOKUP($F36,GDHI!$B$338:$U$574,GDHI!L$578,FALSE),VLOOKUP($F36,GDHI!$C$3:$U$336,GDHI!K$578,FALSE))</f>
        <v>19013</v>
      </c>
      <c r="O36" s="84">
        <f>IFERROR(VLOOKUP($F36,GDHI!$B$338:$U$574,GDHI!M$578,FALSE),VLOOKUP($F36,GDHI!$C$3:$U$336,GDHI!L$578,FALSE))</f>
        <v>19103</v>
      </c>
      <c r="P36" s="84">
        <f>IFERROR(VLOOKUP($F36,GDHI!$B$338:$U$574,GDHI!N$578,FALSE),VLOOKUP($F36,GDHI!$C$3:$U$336,GDHI!M$578,FALSE))</f>
        <v>19246</v>
      </c>
      <c r="Q36" s="84">
        <f>IFERROR(VLOOKUP($F36,GDHI!$B$338:$U$574,GDHI!O$578,FALSE),VLOOKUP($F36,GDHI!$C$3:$U$336,GDHI!N$578,FALSE))</f>
        <v>19830</v>
      </c>
      <c r="R36" s="84">
        <f>IFERROR(VLOOKUP($F36,GDHI!$B$338:$U$574,GDHI!P$578,FALSE),VLOOKUP($F36,GDHI!$C$3:$U$336,GDHI!O$578,FALSE))</f>
        <v>20348</v>
      </c>
      <c r="S36" s="84">
        <f>IFERROR(VLOOKUP($F36,GDHI!$B$338:$U$574,GDHI!Q$578,FALSE),VLOOKUP($F36,GDHI!$C$3:$U$336,GDHI!P$578,FALSE))</f>
        <v>20999</v>
      </c>
      <c r="T36" s="84">
        <f>IFERROR(VLOOKUP($F36,GDHI!$B$338:$U$574,GDHI!R$578,FALSE),VLOOKUP($F36,GDHI!$C$3:$U$336,GDHI!Q$578,FALSE))</f>
        <v>22259</v>
      </c>
      <c r="U36" s="84">
        <f>IFERROR(VLOOKUP($F36,GDHI!$B$338:$U$574,GDHI!S$578,FALSE),VLOOKUP($F36,GDHI!$C$3:$U$336,GDHI!R$578,FALSE))</f>
        <v>22451</v>
      </c>
      <c r="V36" s="84">
        <f>IFERROR(VLOOKUP($F36,GDHI!$B$338:$U$574,GDHI!T$578,FALSE),VLOOKUP($F36,GDHI!$C$3:$U$336,GDHI!S$578,FALSE))</f>
        <v>22620</v>
      </c>
      <c r="W36" s="84">
        <f>IFERROR(VLOOKUP($F36,GDHI!$B$338:$U$574,GDHI!U$578,FALSE),VLOOKUP($F36,GDHI!$C$3:$U$336,GDHI!T$578,FALSE))</f>
        <v>23824</v>
      </c>
      <c r="X36" s="84">
        <f>IFERROR(VLOOKUP($F36,GDHI!$B$338:$U$574,GDHI!V$578,FALSE),VLOOKUP($F36,GDHI!$C$3:$U$336,GDHI!U$578,FALSE))</f>
        <v>23927</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South Hams to Rural as a Region</v>
      </c>
      <c r="G39" s="122"/>
      <c r="H39" s="123"/>
      <c r="I39" s="74">
        <f>100*((I36-I37)/I37)</f>
        <v>6.1558856521295757</v>
      </c>
      <c r="J39" s="74">
        <f t="shared" ref="J39:X39" si="6">100*((J36-J37)/J37)</f>
        <v>8.0407020822065292</v>
      </c>
      <c r="K39" s="74">
        <f t="shared" si="6"/>
        <v>8.3132792227452921</v>
      </c>
      <c r="L39" s="74">
        <f t="shared" si="6"/>
        <v>8.9920652541769979</v>
      </c>
      <c r="M39" s="74">
        <f t="shared" si="6"/>
        <v>12.222855560121491</v>
      </c>
      <c r="N39" s="74">
        <f t="shared" si="6"/>
        <v>9.9467508372888638</v>
      </c>
      <c r="O39" s="74">
        <f t="shared" si="6"/>
        <v>9.11064042456983</v>
      </c>
      <c r="P39" s="74">
        <f t="shared" si="6"/>
        <v>8.1233062511871328</v>
      </c>
      <c r="Q39" s="74">
        <f t="shared" si="6"/>
        <v>7.9691516709511658</v>
      </c>
      <c r="R39" s="74">
        <f t="shared" si="6"/>
        <v>7.8100252868183659</v>
      </c>
      <c r="S39" s="74">
        <f t="shared" si="6"/>
        <v>8.2643912876158456</v>
      </c>
      <c r="T39" s="74">
        <f t="shared" si="6"/>
        <v>8.8015027040992759</v>
      </c>
      <c r="U39" s="74">
        <f t="shared" si="6"/>
        <v>8.8538359773089788</v>
      </c>
      <c r="V39" s="74">
        <f t="shared" si="6"/>
        <v>7.8915973586977692</v>
      </c>
      <c r="W39" s="74">
        <f t="shared" si="6"/>
        <v>9.0748551003478379</v>
      </c>
      <c r="X39" s="74">
        <f t="shared" si="6"/>
        <v>7.4639985328329344</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South Hams</v>
      </c>
      <c r="G44" s="88"/>
      <c r="H44" s="89"/>
      <c r="I44" s="76">
        <f>VLOOKUP($F44,'LOW PAID'!$A$9:$N$444,6,FALSE)</f>
        <v>27.3</v>
      </c>
      <c r="J44" s="77">
        <f>VLOOKUP($F44,'LOW PAID'!$P$9:$W$444,6,FALSE)</f>
        <v>26.5</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South Hams to Rural as a Region</v>
      </c>
      <c r="G47" s="122"/>
      <c r="H47" s="123"/>
      <c r="I47" s="74">
        <f>(I44-I45)</f>
        <v>2.1061253217868838</v>
      </c>
      <c r="J47" s="74">
        <f>(J44-J45)</f>
        <v>0.81388349096994617</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South Hams</v>
      </c>
      <c r="G52" s="88"/>
      <c r="H52" s="89"/>
      <c r="I52" s="76">
        <f>VLOOKUP($F52,INACTIVITY!$A$6:$BW$345,6,FALSE)</f>
        <v>23.1</v>
      </c>
      <c r="J52" s="77">
        <f>VLOOKUP($F52,INACTIVITY!$A$6:$BW$345,10,FALSE)</f>
        <v>20.5</v>
      </c>
      <c r="K52" s="77">
        <f>VLOOKUP($F52,INACTIVITY!$A$6:$BW$345,14,FALSE)</f>
        <v>16.600000000000001</v>
      </c>
      <c r="L52" s="77">
        <f>VLOOKUP($F52,INACTIVITY!$A$6:$BW$345,18,FALSE)</f>
        <v>17.2</v>
      </c>
      <c r="M52" s="77">
        <f>VLOOKUP($F52,INACTIVITY!$A$6:$BW$345,22,FALSE)</f>
        <v>23.2</v>
      </c>
      <c r="N52" s="77">
        <f>VLOOKUP($F52,INACTIVITY!$A$6:$BW$345,26,FALSE)</f>
        <v>22.6</v>
      </c>
      <c r="O52" s="77">
        <f>VLOOKUP($F52,INACTIVITY!$A$6:$BW$345,30,FALSE)</f>
        <v>23</v>
      </c>
      <c r="P52" s="77">
        <f>VLOOKUP($F52,INACTIVITY!$A$6:$BW$345,34,FALSE)</f>
        <v>19.3</v>
      </c>
      <c r="Q52" s="77">
        <f>VLOOKUP($F52,INACTIVITY!$A$6:$BW$345,38,FALSE)</f>
        <v>16.2</v>
      </c>
      <c r="R52" s="77">
        <f>VLOOKUP($F52,INACTIVITY!$A$6:$BW$345,42,FALSE)</f>
        <v>17.8</v>
      </c>
      <c r="S52" s="77">
        <f>VLOOKUP($F52,INACTIVITY!$A$6:$BW$345,46,FALSE)</f>
        <v>22.8</v>
      </c>
      <c r="T52" s="77">
        <f>VLOOKUP($F52,INACTIVITY!$A$6:$BW$345,50,FALSE)</f>
        <v>27.3</v>
      </c>
      <c r="U52" s="77">
        <f>VLOOKUP($F52,INACTIVITY!$A$6:$BW$345,54,FALSE)</f>
        <v>20.8</v>
      </c>
      <c r="V52" s="77">
        <f>VLOOKUP($F52,INACTIVITY!$A$6:$BW$345,58,FALSE)</f>
        <v>18.2</v>
      </c>
      <c r="W52" s="77">
        <f>VLOOKUP($F52,INACTIVITY!$A$6:$BW$345,62,FALSE)</f>
        <v>16.5</v>
      </c>
      <c r="X52" s="77">
        <f>VLOOKUP($F52,INACTIVITY!$A$6:$BW$345,66,FALSE)</f>
        <v>19.899999999999999</v>
      </c>
      <c r="Y52" s="77">
        <f>VLOOKUP($F52,INACTIVITY!$A$6:$BW$345,70,FALSE)</f>
        <v>18.399999999999999</v>
      </c>
      <c r="Z52" s="77">
        <f>VLOOKUP($F52,INACTIVITY!$A$6:$BW$345,74,FALSE)</f>
        <v>19.7</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South Hams to Rural as a Region</v>
      </c>
      <c r="G55" s="122"/>
      <c r="H55" s="123"/>
      <c r="I55" s="74">
        <f>(I52-I53)</f>
        <v>1.7043554283897642</v>
      </c>
      <c r="J55" s="74">
        <f t="shared" ref="J55:Z55" si="10">(J52-J53)</f>
        <v>-0.50852272727272663</v>
      </c>
      <c r="K55" s="74">
        <f t="shared" si="10"/>
        <v>-4.2624653934587755</v>
      </c>
      <c r="L55" s="74">
        <f t="shared" si="10"/>
        <v>-4.11406533153664</v>
      </c>
      <c r="M55" s="74">
        <f t="shared" si="10"/>
        <v>2.3649976891079945</v>
      </c>
      <c r="N55" s="74">
        <f t="shared" si="10"/>
        <v>1.666856242079561</v>
      </c>
      <c r="O55" s="74">
        <f t="shared" si="10"/>
        <v>1.3080628724948262</v>
      </c>
      <c r="P55" s="74">
        <f t="shared" si="10"/>
        <v>-2.1942457807534481</v>
      </c>
      <c r="Q55" s="74">
        <f t="shared" si="10"/>
        <v>-4.9825487944890945</v>
      </c>
      <c r="R55" s="74">
        <f t="shared" si="10"/>
        <v>-2.9745930974387704</v>
      </c>
      <c r="S55" s="74">
        <f t="shared" si="10"/>
        <v>2.5267895440276007</v>
      </c>
      <c r="T55" s="74">
        <f t="shared" si="10"/>
        <v>7.6038053165930428</v>
      </c>
      <c r="U55" s="74">
        <f t="shared" si="10"/>
        <v>0.94757065293052989</v>
      </c>
      <c r="V55" s="74">
        <f t="shared" si="10"/>
        <v>-1.0532773342803772</v>
      </c>
      <c r="W55" s="74">
        <f t="shared" si="10"/>
        <v>-2.6769560091828488</v>
      </c>
      <c r="X55" s="74">
        <f t="shared" si="10"/>
        <v>1.0479350506350684</v>
      </c>
      <c r="Y55" s="74">
        <f t="shared" si="10"/>
        <v>-1.3725827218714635</v>
      </c>
      <c r="Z55" s="74">
        <f t="shared" si="10"/>
        <v>-1.3851797756300712</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South Hams</v>
      </c>
      <c r="G60" s="88"/>
      <c r="H60" s="89"/>
      <c r="I60" s="76">
        <f>VLOOKUP($F60,DISABILITY!$A$718:$I$1052,DISABILITY!B$1053,FALSE)</f>
        <v>6.5999999999999943</v>
      </c>
      <c r="J60" s="77">
        <f>VLOOKUP($F60,DISABILITY!$A$718:$I$1052,DISABILITY!C$1053,FALSE)</f>
        <v>35.9</v>
      </c>
      <c r="K60" s="77">
        <f>VLOOKUP($F60,DISABILITY!$A$718:$I$1052,DISABILITY!D$1053,FALSE)</f>
        <v>9.2000000000000028</v>
      </c>
      <c r="L60" s="77">
        <f>VLOOKUP($F60,DISABILITY!$A$718:$I$1052,DISABILITY!E$1053,FALSE)</f>
        <v>12.300000000000011</v>
      </c>
      <c r="M60" s="77">
        <f>VLOOKUP($F60,DISABILITY!$A$718:$I$1052,DISABILITY!F$1053,FALSE)</f>
        <v>28</v>
      </c>
      <c r="N60" s="77">
        <f>VLOOKUP($F60,DISABILITY!$A$718:$I$1052,DISABILITY!G$1053,FALSE)</f>
        <v>31.600000000000009</v>
      </c>
      <c r="O60" s="77">
        <f>VLOOKUP($F60,DISABILITY!$A$718:$I$1052,DISABILITY!H$1053,FALSE)</f>
        <v>5.2999999999999972</v>
      </c>
      <c r="P60" s="77">
        <f>VLOOKUP($F60,DISABILITY!$A$718:$I$1052,DISABILITY!I$1053,FALSE)</f>
        <v>17.200000000000003</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South Hams to Rural as a Region</v>
      </c>
      <c r="G63" s="122"/>
      <c r="H63" s="123"/>
      <c r="I63" s="74">
        <f>(I60-I61)</f>
        <v>-20.820156540647254</v>
      </c>
      <c r="J63" s="74">
        <f t="shared" ref="J63:P63" si="12">(J60-J61)</f>
        <v>8.5809555929488113</v>
      </c>
      <c r="K63" s="74">
        <f t="shared" si="12"/>
        <v>-18.919128361498203</v>
      </c>
      <c r="L63" s="74">
        <f t="shared" si="12"/>
        <v>-13.690934538996665</v>
      </c>
      <c r="M63" s="74">
        <f t="shared" si="12"/>
        <v>2.524774181333882</v>
      </c>
      <c r="N63" s="74">
        <f t="shared" si="12"/>
        <v>6.0687523145580258</v>
      </c>
      <c r="O63" s="74">
        <f t="shared" si="12"/>
        <v>-18.497222287996948</v>
      </c>
      <c r="P63" s="74">
        <f t="shared" si="12"/>
        <v>-8.154177930342172</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South Hams</v>
      </c>
      <c r="G68" s="88"/>
      <c r="H68" s="89"/>
      <c r="I68" s="76">
        <f>VLOOKUP($F68,'WORKLESS HOUSEHOLDS'!$DW$4:$EC$397,7,FALSE)</f>
        <v>8.6508740258024748</v>
      </c>
      <c r="J68" s="77">
        <f>VLOOKUP($F68,'WORKLESS HOUSEHOLDS'!$DN$4:$DT$397,7,FALSE)</f>
        <v>8.3626692799180837</v>
      </c>
      <c r="K68" s="77">
        <f>VLOOKUP($F68,'WORKLESS HOUSEHOLDS'!$DE$4:$DK$397,7,FALSE)</f>
        <v>11.37193624815154</v>
      </c>
      <c r="L68" s="77">
        <f>VLOOKUP($F68,'WORKLESS HOUSEHOLDS'!$CV$4:$DB$397,7,FALSE)</f>
        <v>17.2551750923902</v>
      </c>
      <c r="M68" s="77" t="str">
        <f>VLOOKUP($F68,'WORKLESS HOUSEHOLDS'!$CM$4:$CS$397,7,FALSE)</f>
        <v>*</v>
      </c>
      <c r="N68" s="77" t="str">
        <f>VLOOKUP($F68,'WORKLESS HOUSEHOLDS'!$CD$4:$CJ$397,7,FALSE)</f>
        <v>*</v>
      </c>
      <c r="O68" s="77">
        <f>VLOOKUP($F68,'WORKLESS HOUSEHOLDS'!$BU$4:$CA$397,7,FALSE)</f>
        <v>7.4394083620121547</v>
      </c>
      <c r="P68" s="77">
        <f>VLOOKUP($F68,'WORKLESS HOUSEHOLDS'!$BL$4:$BR$397,7,FALSE)</f>
        <v>7.885208528899021</v>
      </c>
      <c r="Q68" s="77" t="str">
        <f>VLOOKUP($F68,'WORKLESS HOUSEHOLDS'!$BC$4:$BI$397,7,FALSE)</f>
        <v>#</v>
      </c>
      <c r="R68" s="77" t="str">
        <f>VLOOKUP($F68,'WORKLESS HOUSEHOLDS'!$AT$4:$AZ$397,7,FALSE)</f>
        <v>#</v>
      </c>
      <c r="S68" s="77">
        <f>VLOOKUP($F68,'WORKLESS HOUSEHOLDS'!$AK$4:$AQ$397,7,FALSE)</f>
        <v>8.5271317829457356</v>
      </c>
      <c r="T68" s="77" t="str">
        <f>VLOOKUP($F68,'WORKLESS HOUSEHOLDS'!$AB$4:$AH$397,7,FALSE)</f>
        <v>#</v>
      </c>
      <c r="U68" s="77" t="str">
        <f>VLOOKUP($F68,'WORKLESS HOUSEHOLDS'!$S$4:$Y$397,7,FALSE)</f>
        <v>#</v>
      </c>
      <c r="V68" s="77">
        <f>VLOOKUP($F68,'WORKLESS HOUSEHOLDS'!$J$4:$P$397,7,FALSE)</f>
        <v>15.634600942172458</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South Hams to Rural as a Region</v>
      </c>
      <c r="G71" s="122"/>
      <c r="H71" s="123"/>
      <c r="I71" s="74">
        <f>(I68-I69)</f>
        <v>-1.3610718367842161</v>
      </c>
      <c r="J71" s="74">
        <f t="shared" ref="J71:W71" si="14">(J68-J69)</f>
        <v>-2.5484855575569405</v>
      </c>
      <c r="K71" s="74">
        <f t="shared" si="14"/>
        <v>1.0786905189956961</v>
      </c>
      <c r="L71" s="74">
        <f t="shared" si="14"/>
        <v>6.2891684310604674</v>
      </c>
      <c r="M71" s="74" t="e">
        <f t="shared" si="14"/>
        <v>#VALUE!</v>
      </c>
      <c r="N71" s="74" t="e">
        <f t="shared" si="14"/>
        <v>#VALUE!</v>
      </c>
      <c r="O71" s="74">
        <f t="shared" si="14"/>
        <v>-3.5958448857303571</v>
      </c>
      <c r="P71" s="74">
        <f t="shared" si="14"/>
        <v>-1.8062893568688168</v>
      </c>
      <c r="Q71" s="74" t="e">
        <f t="shared" si="14"/>
        <v>#VALUE!</v>
      </c>
      <c r="R71" s="74" t="e">
        <f t="shared" si="14"/>
        <v>#VALUE!</v>
      </c>
      <c r="S71" s="74">
        <f t="shared" si="14"/>
        <v>-1.6256130452031456</v>
      </c>
      <c r="T71" s="74" t="e">
        <f t="shared" si="14"/>
        <v>#VALUE!</v>
      </c>
      <c r="U71" s="74" t="e">
        <f t="shared" si="14"/>
        <v>#VALUE!</v>
      </c>
      <c r="V71" s="74">
        <f t="shared" si="14"/>
        <v>5.6957324656328101</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South Hams</v>
      </c>
      <c r="G76" s="88"/>
      <c r="H76" s="89"/>
      <c r="I76" s="76">
        <f>VLOOKUP($F76,'SKILLED EMPLOYMENT'!$A$1506:$BW$1841,6,FALSE)</f>
        <v>54.4</v>
      </c>
      <c r="J76" s="77">
        <f>VLOOKUP($F76,'SKILLED EMPLOYMENT'!$A$1506:$BW$1841,10,FALSE)</f>
        <v>54.5</v>
      </c>
      <c r="K76" s="77">
        <f>VLOOKUP($F76,'SKILLED EMPLOYMENT'!$A$1506:$BW$1841,14,FALSE)</f>
        <v>58.400000000000006</v>
      </c>
      <c r="L76" s="77">
        <f>VLOOKUP($F76,'SKILLED EMPLOYMENT'!$A$1506:$BW$1841,18,FALSE)</f>
        <v>58.8</v>
      </c>
      <c r="M76" s="77">
        <f>VLOOKUP($F76,'SKILLED EMPLOYMENT'!$A$1506:$BW$1841,22,FALSE)</f>
        <v>60</v>
      </c>
      <c r="N76" s="77">
        <f>VLOOKUP($F76,'SKILLED EMPLOYMENT'!$A$1506:$BW$1841,26,FALSE)</f>
        <v>61.7</v>
      </c>
      <c r="O76" s="77">
        <f>VLOOKUP($F76,'SKILLED EMPLOYMENT'!$A$1506:$BW$1841,30,FALSE)</f>
        <v>65.099999999999994</v>
      </c>
      <c r="P76" s="77">
        <f>VLOOKUP($F76,'SKILLED EMPLOYMENT'!$A$1506:$BW$1841,34,FALSE)</f>
        <v>67.599999999999994</v>
      </c>
      <c r="Q76" s="77">
        <f>VLOOKUP($F76,'SKILLED EMPLOYMENT'!$A$1506:$BW$1841,38,FALSE)</f>
        <v>63.2</v>
      </c>
      <c r="R76" s="77">
        <f>VLOOKUP($F76,'SKILLED EMPLOYMENT'!$A$1506:$BW$1841,42,FALSE)</f>
        <v>57.900000000000006</v>
      </c>
      <c r="S76" s="77">
        <f>VLOOKUP($F76,'SKILLED EMPLOYMENT'!$A$1506:$BW$1841,46,FALSE)</f>
        <v>66.600000000000009</v>
      </c>
      <c r="T76" s="77">
        <f>VLOOKUP($F76,'SKILLED EMPLOYMENT'!$A$1506:$BW$1841,50,FALSE)</f>
        <v>67</v>
      </c>
      <c r="U76" s="77">
        <f>VLOOKUP($F76,'SKILLED EMPLOYMENT'!$A$1506:$BW$1841,54,FALSE)</f>
        <v>60</v>
      </c>
      <c r="V76" s="77">
        <f>VLOOKUP($F76,'SKILLED EMPLOYMENT'!$A$1506:$BW$1841,58,FALSE)</f>
        <v>61.900000000000006</v>
      </c>
      <c r="W76" s="77">
        <f>VLOOKUP($F76,'SKILLED EMPLOYMENT'!$A$1506:$BW$1841,62,FALSE)</f>
        <v>69.100000000000009</v>
      </c>
      <c r="X76" s="77">
        <f>VLOOKUP($F76,'SKILLED EMPLOYMENT'!$A$1506:$BW$1841,66,FALSE)</f>
        <v>71.100000000000009</v>
      </c>
      <c r="Y76" s="77">
        <f>VLOOKUP($F76,'SKILLED EMPLOYMENT'!$A$1506:$BW$1841,70,FALSE)</f>
        <v>67.099999999999994</v>
      </c>
      <c r="Z76" s="77">
        <f>VLOOKUP($F76,'SKILLED EMPLOYMENT'!$A$1506:$BW$1841,74,FALSE)</f>
        <v>63.5</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South Hams to Rural as a Region</v>
      </c>
      <c r="G79" s="122"/>
      <c r="H79" s="123"/>
      <c r="I79" s="74">
        <f>(I76-I77)</f>
        <v>1.6999999999999957</v>
      </c>
      <c r="J79" s="74">
        <f t="shared" ref="J79:Z79" si="17">(J76-J77)</f>
        <v>1.6000000000000014</v>
      </c>
      <c r="K79" s="74">
        <f t="shared" si="17"/>
        <v>4.9000000000000057</v>
      </c>
      <c r="L79" s="74">
        <f t="shared" si="17"/>
        <v>4.7999999999999972</v>
      </c>
      <c r="M79" s="74">
        <f t="shared" si="17"/>
        <v>5.8999999999999986</v>
      </c>
      <c r="N79" s="74">
        <f t="shared" si="17"/>
        <v>7.3000000000000043</v>
      </c>
      <c r="O79" s="74">
        <f t="shared" si="17"/>
        <v>9.6999999999999957</v>
      </c>
      <c r="P79" s="74">
        <f t="shared" si="17"/>
        <v>11.999999999999993</v>
      </c>
      <c r="Q79" s="74">
        <f t="shared" si="17"/>
        <v>7.8000000000000043</v>
      </c>
      <c r="R79" s="74">
        <f t="shared" si="17"/>
        <v>1.7000000000000028</v>
      </c>
      <c r="S79" s="74">
        <f t="shared" si="17"/>
        <v>10.400000000000006</v>
      </c>
      <c r="T79" s="74">
        <f t="shared" si="17"/>
        <v>10.200000000000003</v>
      </c>
      <c r="U79" s="74">
        <f t="shared" si="17"/>
        <v>3.3999999999999986</v>
      </c>
      <c r="V79" s="74">
        <f t="shared" si="17"/>
        <v>4.8000000000000043</v>
      </c>
      <c r="W79" s="74">
        <f t="shared" si="17"/>
        <v>11.300000000000011</v>
      </c>
      <c r="X79" s="74">
        <f t="shared" si="17"/>
        <v>12.300000000000011</v>
      </c>
      <c r="Y79" s="74">
        <f t="shared" si="17"/>
        <v>8.3999999999999915</v>
      </c>
      <c r="Z79" s="74">
        <f t="shared" si="17"/>
        <v>5.1000000000000014</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2OUAv+/rGRieg68CCQTLwAFRfoS5t3X8UfhCDyVzl70d7Kxbzm+jKsXqUXnkew2ds8GhGoBCiV+xV7mf/3hT4g==" saltValue="/qrn14/qnfE5aGSa+abz9A=="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2022-08-02T13:18:58Z</dcterms:modified>
</cp:coreProperties>
</file>