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0" documentId="8_{9CBFFED4-1411-43C5-A14C-627DB3FCEE1A}" xr6:coauthVersionLast="47" xr6:coauthVersionMax="47" xr10:uidLastSave="{0D0CE8B0-BC24-41EF-815F-C5891B0B18B9}"/>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<sst xmlns="http://schemas.openxmlformats.org/spreadsheetml/2006/main" count="32859" uniqueCount="1676">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</sst>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South Kesteven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21.9</c:v>
                </c:pt>
                <c:pt idx="1">
                  <c:v>21.99</c:v>
                </c:pt>
                <c:pt idx="2">
                  <c:v>22.35</c:v>
                </c:pt>
                <c:pt idx="3">
                  <c:v>22.91</c:v>
                </c:pt>
                <c:pt idx="4">
                  <c:v>23.49</c:v>
                </c:pt>
                <c:pt idx="5">
                  <c:v>23.75</c:v>
                </c:pt>
                <c:pt idx="6">
                  <c:v>24.01</c:v>
                </c:pt>
                <c:pt idx="7">
                  <c:v>24.48</c:v>
                </c:pt>
                <c:pt idx="8">
                  <c:v>25.38</c:v>
                </c:pt>
                <c:pt idx="9">
                  <c:v>26.25</c:v>
                </c:pt>
                <c:pt idx="10">
                  <c:v>26.93</c:v>
                </c:pt>
                <c:pt idx="11">
                  <c:v>27.1</c:v>
                </c:pt>
                <c:pt idx="12">
                  <c:v>27.17</c:v>
                </c:pt>
                <c:pt idx="13">
                  <c:v>27.26</c:v>
                </c:pt>
                <c:pt idx="14">
                  <c:v>27.66</c:v>
                </c:pt>
                <c:pt idx="15">
                  <c:v>27.97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South Kesteven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432.8</c:v>
                </c:pt>
                <c:pt idx="1">
                  <c:v>416.9</c:v>
                </c:pt>
                <c:pt idx="2">
                  <c:v>447.1</c:v>
                </c:pt>
                <c:pt idx="3">
                  <c:v>401.7</c:v>
                </c:pt>
                <c:pt idx="4">
                  <c:v>409.3</c:v>
                </c:pt>
                <c:pt idx="5">
                  <c:v>452.4</c:v>
                </c:pt>
                <c:pt idx="6">
                  <c:v>433.1</c:v>
                </c:pt>
                <c:pt idx="7">
                  <c:v>432</c:v>
                </c:pt>
                <c:pt idx="8">
                  <c:v>434.3</c:v>
                </c:pt>
                <c:pt idx="9">
                  <c:v>446.5</c:v>
                </c:pt>
                <c:pt idx="10">
                  <c:v>452.9</c:v>
                </c:pt>
                <c:pt idx="11">
                  <c:v>515.70000000000005</c:v>
                </c:pt>
                <c:pt idx="12">
                  <c:v>543.1</c:v>
                </c:pt>
                <c:pt idx="13">
                  <c:v>563.9</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South Kesteven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76.8</c:v>
                </c:pt>
                <c:pt idx="1">
                  <c:v>77.2</c:v>
                </c:pt>
                <c:pt idx="2">
                  <c:v>75.7</c:v>
                </c:pt>
                <c:pt idx="3">
                  <c:v>74.7</c:v>
                </c:pt>
                <c:pt idx="4">
                  <c:v>74.900000000000006</c:v>
                </c:pt>
                <c:pt idx="5">
                  <c:v>76.900000000000006</c:v>
                </c:pt>
                <c:pt idx="6">
                  <c:v>74.8</c:v>
                </c:pt>
                <c:pt idx="7">
                  <c:v>77.599999999999994</c:v>
                </c:pt>
                <c:pt idx="8">
                  <c:v>74.5</c:v>
                </c:pt>
                <c:pt idx="9">
                  <c:v>76.3</c:v>
                </c:pt>
                <c:pt idx="10">
                  <c:v>78.099999999999994</c:v>
                </c:pt>
                <c:pt idx="11">
                  <c:v>76.099999999999994</c:v>
                </c:pt>
                <c:pt idx="12">
                  <c:v>77</c:v>
                </c:pt>
                <c:pt idx="13">
                  <c:v>79.3</c:v>
                </c:pt>
                <c:pt idx="14">
                  <c:v>80.2</c:v>
                </c:pt>
                <c:pt idx="15">
                  <c:v>79.900000000000006</c:v>
                </c:pt>
                <c:pt idx="16">
                  <c:v>71.5</c:v>
                </c:pt>
                <c:pt idx="17">
                  <c:v>77.3</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South Kesteven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14015</c:v>
                </c:pt>
                <c:pt idx="1">
                  <c:v>14688</c:v>
                </c:pt>
                <c:pt idx="2">
                  <c:v>14884</c:v>
                </c:pt>
                <c:pt idx="3">
                  <c:v>15864</c:v>
                </c:pt>
                <c:pt idx="4">
                  <c:v>16346</c:v>
                </c:pt>
                <c:pt idx="5">
                  <c:v>16381</c:v>
                </c:pt>
                <c:pt idx="6">
                  <c:v>16727</c:v>
                </c:pt>
                <c:pt idx="7">
                  <c:v>17096</c:v>
                </c:pt>
                <c:pt idx="8">
                  <c:v>17559</c:v>
                </c:pt>
                <c:pt idx="9">
                  <c:v>17840</c:v>
                </c:pt>
                <c:pt idx="10">
                  <c:v>18372</c:v>
                </c:pt>
                <c:pt idx="11">
                  <c:v>19006</c:v>
                </c:pt>
                <c:pt idx="12">
                  <c:v>19018</c:v>
                </c:pt>
                <c:pt idx="13">
                  <c:v>19497</c:v>
                </c:pt>
                <c:pt idx="14">
                  <c:v>20407</c:v>
                </c:pt>
                <c:pt idx="15">
                  <c:v>21522</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South Kesteven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28.8</c:v>
                </c:pt>
                <c:pt idx="1">
                  <c:v>32</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South Kesteven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21.2</c:v>
                </c:pt>
                <c:pt idx="1">
                  <c:v>20.3</c:v>
                </c:pt>
                <c:pt idx="2">
                  <c:v>20.8</c:v>
                </c:pt>
                <c:pt idx="3">
                  <c:v>22.3</c:v>
                </c:pt>
                <c:pt idx="4">
                  <c:v>21.3</c:v>
                </c:pt>
                <c:pt idx="5">
                  <c:v>18.100000000000001</c:v>
                </c:pt>
                <c:pt idx="6">
                  <c:v>21.4</c:v>
                </c:pt>
                <c:pt idx="7">
                  <c:v>17.3</c:v>
                </c:pt>
                <c:pt idx="8">
                  <c:v>19.100000000000001</c:v>
                </c:pt>
                <c:pt idx="9">
                  <c:v>18.399999999999999</c:v>
                </c:pt>
                <c:pt idx="10">
                  <c:v>19.7</c:v>
                </c:pt>
                <c:pt idx="11">
                  <c:v>17.8</c:v>
                </c:pt>
                <c:pt idx="12">
                  <c:v>18.8</c:v>
                </c:pt>
                <c:pt idx="13">
                  <c:v>17.7</c:v>
                </c:pt>
                <c:pt idx="14">
                  <c:v>15.1</c:v>
                </c:pt>
                <c:pt idx="15">
                  <c:v>18.399999999999999</c:v>
                </c:pt>
                <c:pt idx="16">
                  <c:v>24.3</c:v>
                </c:pt>
                <c:pt idx="17">
                  <c:v>22</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South Kesteven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19.299999999999997</c:v>
                </c:pt>
                <c:pt idx="1">
                  <c:v>15.500000000000007</c:v>
                </c:pt>
                <c:pt idx="2">
                  <c:v>26.1</c:v>
                </c:pt>
                <c:pt idx="3">
                  <c:v>24</c:v>
                </c:pt>
                <c:pt idx="4">
                  <c:v>23.699999999999996</c:v>
                </c:pt>
                <c:pt idx="5">
                  <c:v>28.800000000000004</c:v>
                </c:pt>
                <c:pt idx="6">
                  <c:v>36.200000000000003</c:v>
                </c:pt>
                <c:pt idx="7">
                  <c:v>35.500000000000007</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South Kesteven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3.7592017854198327</c:v>
                </c:pt>
                <c:pt idx="1">
                  <c:v>7.0280453477468026</c:v>
                </c:pt>
                <c:pt idx="2">
                  <c:v>6.9610903055131974</c:v>
                </c:pt>
                <c:pt idx="3">
                  <c:v>12.039934787183853</c:v>
                </c:pt>
                <c:pt idx="4">
                  <c:v>6.7475340626048288</c:v>
                </c:pt>
                <c:pt idx="5">
                  <c:v>12.418050234142187</c:v>
                </c:pt>
                <c:pt idx="6">
                  <c:v>2.6444039496546172</c:v>
                </c:pt>
                <c:pt idx="7">
                  <c:v>9.2223561034386883</c:v>
                </c:pt>
                <c:pt idx="8">
                  <c:v>7.8286345516545799</c:v>
                </c:pt>
                <c:pt idx="9">
                  <c:v>7.127531754205287</c:v>
                </c:pt>
                <c:pt idx="10">
                  <c:v>19.331552055500868</c:v>
                </c:pt>
                <c:pt idx="11">
                  <c:v>8.2020997375328086</c:v>
                </c:pt>
                <c:pt idx="12">
                  <c:v>5.046529591348806</c:v>
                </c:pt>
                <c:pt idx="13">
                  <c:v>11.438822670882995</c:v>
                </c:pt>
                <c:pt idx="14">
                  <c:v>9.2275258122060659</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South Kesteven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48.9</c:v>
                </c:pt>
                <c:pt idx="1">
                  <c:v>51.499999999999993</c:v>
                </c:pt>
                <c:pt idx="2">
                  <c:v>55.999999999999993</c:v>
                </c:pt>
                <c:pt idx="3">
                  <c:v>52.3</c:v>
                </c:pt>
                <c:pt idx="4">
                  <c:v>48.699999999999996</c:v>
                </c:pt>
                <c:pt idx="5">
                  <c:v>54.3</c:v>
                </c:pt>
                <c:pt idx="6">
                  <c:v>59.600000000000009</c:v>
                </c:pt>
                <c:pt idx="7">
                  <c:v>53.899999999999991</c:v>
                </c:pt>
                <c:pt idx="8">
                  <c:v>49.899999999999991</c:v>
                </c:pt>
                <c:pt idx="9">
                  <c:v>51.099999999999994</c:v>
                </c:pt>
                <c:pt idx="10">
                  <c:v>47.7</c:v>
                </c:pt>
                <c:pt idx="11">
                  <c:v>49.699999999999996</c:v>
                </c:pt>
                <c:pt idx="12">
                  <c:v>48.8</c:v>
                </c:pt>
                <c:pt idx="13">
                  <c:v>58.8</c:v>
                </c:pt>
                <c:pt idx="14">
                  <c:v>60.900000000000006</c:v>
                </c:pt>
                <c:pt idx="15">
                  <c:v>60.599999999999994</c:v>
                </c:pt>
                <c:pt idx="16">
                  <c:v>65.599999999999994</c:v>
                </c:pt>
                <c:pt idx="17">
                  <c:v>67.400000000000006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South Kesteven roughly follows the path of 'Rural as a Region' but with the majority of years from 2004 to 2021 having a greater rate.</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South Kesteven, it is below and drops marginally further behind that seen in England overall by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For South Kesteven the proportion is greater than both rural and England in both 2017 and 2018, with an increasing gap.</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South Kesteven's economic inactivity rate roughly follows the rural situation with some fluctuation</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There is a general trend of increase in the gap for South Kesteven.</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South Kesteven has been less stable and has in certain years been significantly greater and in other years significantly less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114300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0210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South Kesteven demonstrates a general upward trend in the proportion of employed people in skilled employment, with fluctuation between years taking it both above and below the rural and England situations.</a:t>
          </a:r>
          <a:endParaRPr lang="en-GB" sz="1100">
            <a:latin typeface="Avenir Next LT Pro" panose="020B0504020202020204" pitchFamily="34" charset="0"/>
          </a:endParaRPr>
        </a:p>
      </xdr:txBody>
    </xdr:sp>
    <xdr:clientData/>
  </xdr:twoCellAnchor>
  <xdr:twoCellAnchor>
    <xdr:from>
      <xdr:col>0</xdr:col>
      <xdr:colOff>609600</xdr:colOff>
      <xdr:row>20</xdr:row>
      <xdr:rowOff>609600</xdr:rowOff>
    </xdr:from>
    <xdr:to>
      <xdr:col>1</xdr:col>
      <xdr:colOff>2590800</xdr:colOff>
      <xdr:row>22</xdr:row>
      <xdr:rowOff>137160</xdr:rowOff>
    </xdr:to>
    <xdr:sp macro="" textlink="">
      <xdr:nvSpPr>
        <xdr:cNvPr id="20" name="TextBox 19">
          <a:extLst>
            <a:ext uri="{FF2B5EF4-FFF2-40B4-BE49-F238E27FC236}">
              <a16:creationId xmlns:a16="http://schemas.microsoft.com/office/drawing/2014/main" id="{B1BA03B6-94D1-4EEC-B911-208EC01CBE2C}"/>
            </a:ext>
          </a:extLst>
        </xdr:cNvPr>
        <xdr:cNvSpPr txBox="1"/>
      </xdr:nvSpPr>
      <xdr:spPr>
        <a:xfrm>
          <a:off x="60960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South Kesteven moves from being equal to the rural situation in 2008, with some deviation over the years, to being once again equal to 'Rural as a Region' in 2021.</a:t>
          </a:r>
          <a:endParaRPr lang="en-GB" sz="1100">
            <a:latin typeface="Avenir Next LT Pro" panose="020B0504020202020204" pitchFamily="34" charset="0"/>
          </a:endParaRPr>
        </a:p>
      </xdr:txBody>
    </xdr:sp>
    <xdr:clientData/>
  </xdr:twoCellAnchor>
  <xdr:twoCellAnchor>
    <xdr:from>
      <xdr:col>0</xdr:col>
      <xdr:colOff>594360</xdr:colOff>
      <xdr:row>12</xdr:row>
      <xdr:rowOff>510540</xdr:rowOff>
    </xdr:from>
    <xdr:to>
      <xdr:col>1</xdr:col>
      <xdr:colOff>2575560</xdr:colOff>
      <xdr:row>14</xdr:row>
      <xdr:rowOff>15240</xdr:rowOff>
    </xdr:to>
    <xdr:sp macro="" textlink="">
      <xdr:nvSpPr>
        <xdr:cNvPr id="21" name="TextBox 20">
          <a:extLst>
            <a:ext uri="{FF2B5EF4-FFF2-40B4-BE49-F238E27FC236}">
              <a16:creationId xmlns:a16="http://schemas.microsoft.com/office/drawing/2014/main" id="{64A903E0-9BDC-44DA-BABA-C5F5859CA8DC}"/>
            </a:ext>
          </a:extLst>
        </xdr:cNvPr>
        <xdr:cNvSpPr txBox="1"/>
      </xdr:nvSpPr>
      <xdr:spPr>
        <a:xfrm>
          <a:off x="594360" y="34975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South Kesteven is consistently below the rural situation, but does increase at roughly the same rate thus maintaining it's relative position.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315</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South Kesteven</v>
      </c>
      <c r="G12" s="88" t="str">
        <f>IFERROR(VLOOKUP(F12,GVA!B244:B552,1,FALSE),VLOOKUP(F12,GVA!B6:C230,2,FALSE))</f>
        <v>South Kesteven</v>
      </c>
      <c r="H12" s="89" t="str">
        <f>IF(F12=G12,"",G12)</f>
        <v/>
      </c>
      <c r="I12" s="76">
        <f>IFERROR(VLOOKUP($F12,GVA!$B$7:$S$230,GVA!D$3,FALSE),VLOOKUP($F12,GVA!$B$244:$T$554,GVA!E$3,FALSE))</f>
        <v>21.9</v>
      </c>
      <c r="J12" s="77">
        <f>IFERROR(VLOOKUP($F12,GVA!$B$7:$S$230,GVA!E$3,FALSE),VLOOKUP($F12,GVA!$B$244:$T$554,GVA!F$3,FALSE))</f>
        <v>21.99</v>
      </c>
      <c r="K12" s="77">
        <f>IFERROR(VLOOKUP($F12,GVA!$B$7:$S$230,GVA!F$3,FALSE),VLOOKUP($F12,GVA!$B$244:$T$554,GVA!G$3,FALSE))</f>
        <v>22.35</v>
      </c>
      <c r="L12" s="77">
        <f>IFERROR(VLOOKUP($F12,GVA!$B$7:$S$230,GVA!G$3,FALSE),VLOOKUP($F12,GVA!$B$244:$T$554,GVA!H$3,FALSE))</f>
        <v>22.91</v>
      </c>
      <c r="M12" s="77">
        <f>IFERROR(VLOOKUP($F12,GVA!$B$7:$S$230,GVA!H$3,FALSE),VLOOKUP($F12,GVA!$B$244:$T$554,GVA!I$3,FALSE))</f>
        <v>23.49</v>
      </c>
      <c r="N12" s="77">
        <f>IFERROR(VLOOKUP($F12,GVA!$B$7:$S$230,GVA!I$3,FALSE),VLOOKUP($F12,GVA!$B$244:$T$554,GVA!J$3,FALSE))</f>
        <v>23.75</v>
      </c>
      <c r="O12" s="77">
        <f>IFERROR(VLOOKUP($F12,GVA!$B$7:$S$230,GVA!J$3,FALSE),VLOOKUP($F12,GVA!$B$244:$T$554,GVA!K$3,FALSE))</f>
        <v>24.01</v>
      </c>
      <c r="P12" s="77">
        <f>IFERROR(VLOOKUP($F12,GVA!$B$7:$S$230,GVA!K$3,FALSE),VLOOKUP($F12,GVA!$B$244:$T$554,GVA!L$3,FALSE))</f>
        <v>24.48</v>
      </c>
      <c r="Q12" s="77">
        <f>IFERROR(VLOOKUP($F12,GVA!$B$7:$S$230,GVA!L$3,FALSE),VLOOKUP($F12,GVA!$B$244:$T$554,GVA!M$3,FALSE))</f>
        <v>25.38</v>
      </c>
      <c r="R12" s="77">
        <f>IFERROR(VLOOKUP($F12,GVA!$B$7:$S$230,GVA!M$3,FALSE),VLOOKUP($F12,GVA!$B$244:$T$554,GVA!N$3,FALSE))</f>
        <v>26.25</v>
      </c>
      <c r="S12" s="77">
        <f>IFERROR(VLOOKUP($F12,GVA!$B$7:$S$230,GVA!N$3,FALSE),VLOOKUP($F12,GVA!$B$244:$T$554,GVA!O$3,FALSE))</f>
        <v>26.93</v>
      </c>
      <c r="T12" s="77">
        <f>IFERROR(VLOOKUP($F12,GVA!$B$7:$S$230,GVA!O$3,FALSE),VLOOKUP($F12,GVA!$B$244:$T$554,GVA!P$3,FALSE))</f>
        <v>27.1</v>
      </c>
      <c r="U12" s="77">
        <f>IFERROR(VLOOKUP($F12,GVA!$B$7:$S$230,GVA!P$3,FALSE),VLOOKUP($F12,GVA!$B$244:$T$554,GVA!Q$3,FALSE))</f>
        <v>27.17</v>
      </c>
      <c r="V12" s="77">
        <f>IFERROR(VLOOKUP($F12,GVA!$B$7:$S$230,GVA!Q$3,FALSE),VLOOKUP($F12,GVA!$B$244:$T$554,GVA!R$3,FALSE))</f>
        <v>27.26</v>
      </c>
      <c r="W12" s="77">
        <f>IFERROR(VLOOKUP($F12,GVA!$B$7:$S$230,GVA!R$3,FALSE),VLOOKUP($F12,GVA!$B$244:$T$554,GVA!S$3,FALSE))</f>
        <v>27.66</v>
      </c>
      <c r="X12" s="77">
        <f>IFERROR(VLOOKUP($F12,GVA!$B$7:$S$230,GVA!S$3,FALSE),VLOOKUP($F12,GVA!$B$244:$T$554,GVA!T$3,FALSE))</f>
        <v>27.97</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South Kesteven to Rural as a Region</v>
      </c>
      <c r="G15" s="102"/>
      <c r="H15" s="103"/>
      <c r="I15" s="74">
        <f>100*((I12-I13)/I13)</f>
        <v>-6.9673354000515459</v>
      </c>
      <c r="J15" s="74">
        <f t="shared" ref="J15:X15" si="0">100*((J12-J13)/J13)</f>
        <v>-6.3249284946345714</v>
      </c>
      <c r="K15" s="74">
        <f t="shared" si="0"/>
        <v>-8.0395585663693865</v>
      </c>
      <c r="L15" s="74">
        <f t="shared" si="0"/>
        <v>-7.7644216943693776</v>
      </c>
      <c r="M15" s="74">
        <f t="shared" si="0"/>
        <v>-7.0242150944996444</v>
      </c>
      <c r="N15" s="74">
        <f t="shared" si="0"/>
        <v>-6.7630660229657327</v>
      </c>
      <c r="O15" s="74">
        <f t="shared" si="0"/>
        <v>-6.9023297036055382</v>
      </c>
      <c r="P15" s="74">
        <f t="shared" si="0"/>
        <v>-6.4743685955600272</v>
      </c>
      <c r="Q15" s="74">
        <f t="shared" si="0"/>
        <v>-4.9819494584837702</v>
      </c>
      <c r="R15" s="74">
        <f t="shared" si="0"/>
        <v>-3.4000551999684978</v>
      </c>
      <c r="S15" s="74">
        <f t="shared" si="0"/>
        <v>-2.5145767883230898</v>
      </c>
      <c r="T15" s="74">
        <f t="shared" si="0"/>
        <v>-3.7235032396677239</v>
      </c>
      <c r="U15" s="74">
        <f t="shared" si="0"/>
        <v>-5.7808455565142092</v>
      </c>
      <c r="V15" s="74">
        <f t="shared" si="0"/>
        <v>-7.9701786467857483</v>
      </c>
      <c r="W15" s="74">
        <f t="shared" si="0"/>
        <v>-8.5148187377198958</v>
      </c>
      <c r="X15" s="74">
        <f t="shared" si="0"/>
        <v>-8.4490961731045928</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South Kesteven</v>
      </c>
      <c r="G20" s="88"/>
      <c r="H20" s="89"/>
      <c r="I20" s="80">
        <f>IF(VLOOKUP($F20,PAY!$A$11:$AE$349,4,FALSE)="-",#N/A,VLOOKUP($F20,PAY!$A$11:$AE$349,4,FALSE))</f>
        <v>432.8</v>
      </c>
      <c r="J20" s="80">
        <f>IF(VLOOKUP($F20,PAY!$A$11:$AE$349,6,FALSE)="-",#N/A,VLOOKUP($F20,PAY!$A$11:$AE$349,6,FALSE))</f>
        <v>416.9</v>
      </c>
      <c r="K20" s="80">
        <f>IF(VLOOKUP($F20,PAY!$A$11:$AE$349,8,FALSE)="-",#N/A,VLOOKUP($F20,PAY!$A$11:$AE$349,8,FALSE))</f>
        <v>447.1</v>
      </c>
      <c r="L20" s="80">
        <f>IF(VLOOKUP($F20,PAY!$A$11:$AE$349,10,FALSE)="-",#N/A,VLOOKUP($F20,PAY!$A$11:$AE$349,10,FALSE))</f>
        <v>401.7</v>
      </c>
      <c r="M20" s="80">
        <f>IF(VLOOKUP($F20,PAY!$A$11:$AE$349,12,FALSE)="-",#N/A,VLOOKUP($F20,PAY!$A$11:$AE$349,12,FALSE))</f>
        <v>409.3</v>
      </c>
      <c r="N20" s="80">
        <f>IF(VLOOKUP($F20,PAY!$A$11:$AE$349,14,FALSE)="-",#N/A,VLOOKUP($F20,PAY!$A$11:$AE$349,14,FALSE))</f>
        <v>452.4</v>
      </c>
      <c r="O20" s="80">
        <f>IF(VLOOKUP($F20,PAY!$A$11:$AE$349,16,FALSE)="-",#N/A,VLOOKUP($F20,PAY!$A$11:$AE$349,16,FALSE))</f>
        <v>433.1</v>
      </c>
      <c r="P20" s="80">
        <f>IF(VLOOKUP($F20,PAY!$A$11:$AE$349,18,FALSE)="-",#N/A,VLOOKUP($F20,PAY!$A$11:$AE$349,18,FALSE))</f>
        <v>432</v>
      </c>
      <c r="Q20" s="80">
        <f>IF(VLOOKUP($F20,PAY!$A$11:$AE$349,20,FALSE)="-",#N/A,VLOOKUP($F20,PAY!$A$11:$AE$349,20,FALSE))</f>
        <v>434.3</v>
      </c>
      <c r="R20" s="80">
        <f>IF(VLOOKUP($F20,PAY!$A$11:$AE$349,22,FALSE)="-",#N/A,VLOOKUP($F20,PAY!$A$11:$AE$349,22,FALSE))</f>
        <v>446.5</v>
      </c>
      <c r="S20" s="80">
        <f>IF(VLOOKUP($F20,PAY!$A$11:$AE$349,24,FALSE)="-",#N/A,VLOOKUP($F20,PAY!$A$11:$AE$349,24,FALSE))</f>
        <v>452.9</v>
      </c>
      <c r="T20" s="80">
        <f>IF(VLOOKUP($F20,PAY!$A$11:$AE$349,26,FALSE)="-",#N/A,VLOOKUP($F20,PAY!$A$11:$AE$349,26,FALSE))</f>
        <v>515.70000000000005</v>
      </c>
      <c r="U20" s="80">
        <f>IF(VLOOKUP($F20,PAY!$A$11:$AE$349,28,FALSE)="-",#N/A,VLOOKUP($F20,PAY!$A$11:$AE$349,28,FALSE))</f>
        <v>543.1</v>
      </c>
      <c r="V20" s="80">
        <f>IF(VLOOKUP($F20,PAY!$A$11:$AE$349,30,FALSE)="-",#N/A,VLOOKUP($F20,PAY!$A$11:$AE$349,30,FALSE))</f>
        <v>563.9</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South Kesteven to Rural as a Region</v>
      </c>
      <c r="G23" s="102"/>
      <c r="H23" s="103"/>
      <c r="I23" s="74">
        <f>100*((I20-I21)/I21)</f>
        <v>-4.4436128911544033E-2</v>
      </c>
      <c r="J23" s="74">
        <f t="shared" ref="J23:V23" si="2">100*((J20-J21)/J21)</f>
        <v>-4.5831664473307852</v>
      </c>
      <c r="K23" s="74">
        <f t="shared" si="2"/>
        <v>-0.22598295523562151</v>
      </c>
      <c r="L23" s="74">
        <f t="shared" si="2"/>
        <v>-10.86271403532424</v>
      </c>
      <c r="M23" s="74">
        <f t="shared" si="2"/>
        <v>-10.091980358245154</v>
      </c>
      <c r="N23" s="74">
        <f t="shared" si="2"/>
        <v>-2.3257339316655132</v>
      </c>
      <c r="O23" s="74">
        <f t="shared" si="2"/>
        <v>-8.0081412293578911</v>
      </c>
      <c r="P23" s="74">
        <f t="shared" si="2"/>
        <v>-9.0184453052312836</v>
      </c>
      <c r="Q23" s="74">
        <f t="shared" si="2"/>
        <v>-11.273600885461526</v>
      </c>
      <c r="R23" s="74">
        <f t="shared" si="2"/>
        <v>-11.418741602943179</v>
      </c>
      <c r="S23" s="74">
        <f t="shared" si="2"/>
        <v>-11.960059645022032</v>
      </c>
      <c r="T23" s="74">
        <f t="shared" si="2"/>
        <v>-3.3724657433410412</v>
      </c>
      <c r="U23" s="74">
        <f t="shared" si="2"/>
        <v>2.2694375751526179</v>
      </c>
      <c r="V23" s="74">
        <f t="shared" si="2"/>
        <v>-6.2776113475335044E-2</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South Kesteven</v>
      </c>
      <c r="G28" s="88"/>
      <c r="H28" s="89"/>
      <c r="I28" s="76">
        <f>VLOOKUP($F28,EMPLOYMENT!$A$6:$BW$345,6,FALSE)</f>
        <v>76.8</v>
      </c>
      <c r="J28" s="77">
        <f>VLOOKUP($F28,EMPLOYMENT!$A$6:$BW$345,10,FALSE)</f>
        <v>77.2</v>
      </c>
      <c r="K28" s="77">
        <f>VLOOKUP($F28,EMPLOYMENT!$A$6:$BW$345,14,FALSE)</f>
        <v>75.7</v>
      </c>
      <c r="L28" s="77">
        <f>VLOOKUP($F28,EMPLOYMENT!$A$6:$BW$345,18,FALSE)</f>
        <v>74.7</v>
      </c>
      <c r="M28" s="77">
        <f>VLOOKUP($F28,EMPLOYMENT!$A$6:$BW$345,22,FALSE)</f>
        <v>74.900000000000006</v>
      </c>
      <c r="N28" s="77">
        <f>VLOOKUP($F28,EMPLOYMENT!$A$6:$BW$345,26,FALSE)</f>
        <v>76.900000000000006</v>
      </c>
      <c r="O28" s="77">
        <f>VLOOKUP($F28,EMPLOYMENT!$A$6:$BW$345,30,FALSE)</f>
        <v>74.8</v>
      </c>
      <c r="P28" s="77">
        <f>VLOOKUP($F28,EMPLOYMENT!$A$6:$BW$345,34,FALSE)</f>
        <v>77.599999999999994</v>
      </c>
      <c r="Q28" s="77">
        <f>VLOOKUP($F28,EMPLOYMENT!$A$6:$BW$345,38,FALSE)</f>
        <v>74.5</v>
      </c>
      <c r="R28" s="77">
        <f>VLOOKUP($F28,EMPLOYMENT!$A$6:$BW$345,42,FALSE)</f>
        <v>76.3</v>
      </c>
      <c r="S28" s="77">
        <f>VLOOKUP($F28,EMPLOYMENT!$A$6:$BW$345,46,FALSE)</f>
        <v>78.099999999999994</v>
      </c>
      <c r="T28" s="77">
        <f>VLOOKUP($F28,EMPLOYMENT!$A$6:$BW$345,50,FALSE)</f>
        <v>76.099999999999994</v>
      </c>
      <c r="U28" s="77">
        <f>VLOOKUP($F28,EMPLOYMENT!$A$6:$BW$345,54,FALSE)</f>
        <v>77</v>
      </c>
      <c r="V28" s="77">
        <f>VLOOKUP($F28,EMPLOYMENT!$A$6:$BW$345,58,FALSE)</f>
        <v>79.3</v>
      </c>
      <c r="W28" s="77">
        <f>VLOOKUP($F28,EMPLOYMENT!$A$6:$BW$345,62,FALSE)</f>
        <v>80.2</v>
      </c>
      <c r="X28" s="77">
        <f>VLOOKUP($F28,EMPLOYMENT!$A$6:$BW$345,66,FALSE)</f>
        <v>79.900000000000006</v>
      </c>
      <c r="Y28" s="77">
        <f>VLOOKUP($F28,EMPLOYMENT!$A$6:$BW$345,70,FALSE)</f>
        <v>71.5</v>
      </c>
      <c r="Z28" s="77">
        <f>VLOOKUP($F28,EMPLOYMENT!$A$6:$BW$345,74,FALSE)</f>
        <v>77.3</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South Kesteven to Rural as a Region</v>
      </c>
      <c r="G31" s="102"/>
      <c r="H31" s="103"/>
      <c r="I31" s="74">
        <f>(I28-I29)</f>
        <v>0.68865808059825895</v>
      </c>
      <c r="J31" s="74">
        <f t="shared" ref="J31:Z31" si="4">(J28-J29)</f>
        <v>0.88702453331704589</v>
      </c>
      <c r="K31" s="74">
        <f t="shared" si="4"/>
        <v>-0.17318889948676031</v>
      </c>
      <c r="L31" s="74">
        <f t="shared" si="4"/>
        <v>-0.94046830262783487</v>
      </c>
      <c r="M31" s="74">
        <f t="shared" si="4"/>
        <v>-0.83552437333173657</v>
      </c>
      <c r="N31" s="74">
        <f t="shared" si="4"/>
        <v>2.3904601571268245</v>
      </c>
      <c r="O31" s="74">
        <f t="shared" si="4"/>
        <v>1.2528668610301281</v>
      </c>
      <c r="P31" s="74">
        <f t="shared" si="4"/>
        <v>3.8657045967223809</v>
      </c>
      <c r="Q31" s="74">
        <f t="shared" si="4"/>
        <v>0.46684252453742658</v>
      </c>
      <c r="R31" s="74">
        <f t="shared" si="4"/>
        <v>1.5555250700997902</v>
      </c>
      <c r="S31" s="74">
        <f t="shared" si="4"/>
        <v>1.9911396599243858</v>
      </c>
      <c r="T31" s="74">
        <f t="shared" si="4"/>
        <v>-1.090531975609025</v>
      </c>
      <c r="U31" s="74">
        <f t="shared" si="4"/>
        <v>2.8367518291958049E-2</v>
      </c>
      <c r="V31" s="74">
        <f t="shared" si="4"/>
        <v>1.2672131147540995</v>
      </c>
      <c r="W31" s="74">
        <f t="shared" si="4"/>
        <v>2.1518431065858579</v>
      </c>
      <c r="X31" s="74">
        <f t="shared" si="4"/>
        <v>1.3087006210433003</v>
      </c>
      <c r="Y31" s="74">
        <f t="shared" si="4"/>
        <v>-5.5143462961292045</v>
      </c>
      <c r="Z31" s="74">
        <f t="shared" si="4"/>
        <v>1.1442419221209548</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South Kesteven</v>
      </c>
      <c r="G36" s="88" t="str">
        <f>IFERROR(VLOOKUP(F36,GDHI!B338:C574,2,FALSE),VLOOKUP(F36,GDHI!C3:C336,1,FALSE))</f>
        <v>South Kesteven</v>
      </c>
      <c r="H36" s="89" t="str">
        <f>IF(F36=G36,"",G36)</f>
        <v/>
      </c>
      <c r="I36" s="83">
        <f>IFERROR(VLOOKUP($F36,GDHI!$B$338:$U$574,GDHI!G$578,FALSE),VLOOKUP($F36,GDHI!$C$3:$U$336,GDHI!F$578,FALSE))</f>
        <v>14015</v>
      </c>
      <c r="J36" s="84">
        <f>IFERROR(VLOOKUP($F36,GDHI!$B$338:$U$574,GDHI!H$578,FALSE),VLOOKUP($F36,GDHI!$C$3:$U$336,GDHI!G$578,FALSE))</f>
        <v>14688</v>
      </c>
      <c r="K36" s="84">
        <f>IFERROR(VLOOKUP($F36,GDHI!$B$338:$U$574,GDHI!I$578,FALSE),VLOOKUP($F36,GDHI!$C$3:$U$336,GDHI!H$578,FALSE))</f>
        <v>14884</v>
      </c>
      <c r="L36" s="84">
        <f>IFERROR(VLOOKUP($F36,GDHI!$B$338:$U$574,GDHI!J$578,FALSE),VLOOKUP($F36,GDHI!$C$3:$U$336,GDHI!I$578,FALSE))</f>
        <v>15864</v>
      </c>
      <c r="M36" s="84">
        <f>IFERROR(VLOOKUP($F36,GDHI!$B$338:$U$574,GDHI!K$578,FALSE),VLOOKUP($F36,GDHI!$C$3:$U$336,GDHI!J$578,FALSE))</f>
        <v>16346</v>
      </c>
      <c r="N36" s="84">
        <f>IFERROR(VLOOKUP($F36,GDHI!$B$338:$U$574,GDHI!L$578,FALSE),VLOOKUP($F36,GDHI!$C$3:$U$336,GDHI!K$578,FALSE))</f>
        <v>16381</v>
      </c>
      <c r="O36" s="84">
        <f>IFERROR(VLOOKUP($F36,GDHI!$B$338:$U$574,GDHI!M$578,FALSE),VLOOKUP($F36,GDHI!$C$3:$U$336,GDHI!L$578,FALSE))</f>
        <v>16727</v>
      </c>
      <c r="P36" s="84">
        <f>IFERROR(VLOOKUP($F36,GDHI!$B$338:$U$574,GDHI!N$578,FALSE),VLOOKUP($F36,GDHI!$C$3:$U$336,GDHI!M$578,FALSE))</f>
        <v>17096</v>
      </c>
      <c r="Q36" s="84">
        <f>IFERROR(VLOOKUP($F36,GDHI!$B$338:$U$574,GDHI!O$578,FALSE),VLOOKUP($F36,GDHI!$C$3:$U$336,GDHI!N$578,FALSE))</f>
        <v>17559</v>
      </c>
      <c r="R36" s="84">
        <f>IFERROR(VLOOKUP($F36,GDHI!$B$338:$U$574,GDHI!P$578,FALSE),VLOOKUP($F36,GDHI!$C$3:$U$336,GDHI!O$578,FALSE))</f>
        <v>17840</v>
      </c>
      <c r="S36" s="84">
        <f>IFERROR(VLOOKUP($F36,GDHI!$B$338:$U$574,GDHI!Q$578,FALSE),VLOOKUP($F36,GDHI!$C$3:$U$336,GDHI!P$578,FALSE))</f>
        <v>18372</v>
      </c>
      <c r="T36" s="84">
        <f>IFERROR(VLOOKUP($F36,GDHI!$B$338:$U$574,GDHI!R$578,FALSE),VLOOKUP($F36,GDHI!$C$3:$U$336,GDHI!Q$578,FALSE))</f>
        <v>19006</v>
      </c>
      <c r="U36" s="84">
        <f>IFERROR(VLOOKUP($F36,GDHI!$B$338:$U$574,GDHI!S$578,FALSE),VLOOKUP($F36,GDHI!$C$3:$U$336,GDHI!R$578,FALSE))</f>
        <v>19018</v>
      </c>
      <c r="V36" s="84">
        <f>IFERROR(VLOOKUP($F36,GDHI!$B$338:$U$574,GDHI!T$578,FALSE),VLOOKUP($F36,GDHI!$C$3:$U$336,GDHI!S$578,FALSE))</f>
        <v>19497</v>
      </c>
      <c r="W36" s="84">
        <f>IFERROR(VLOOKUP($F36,GDHI!$B$338:$U$574,GDHI!U$578,FALSE),VLOOKUP($F36,GDHI!$C$3:$U$336,GDHI!T$578,FALSE))</f>
        <v>20407</v>
      </c>
      <c r="X36" s="84">
        <f>IFERROR(VLOOKUP($F36,GDHI!$B$338:$U$574,GDHI!V$578,FALSE),VLOOKUP($F36,GDHI!$C$3:$U$336,GDHI!U$578,FALSE))</f>
        <v>21522</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South Kesteven to Rural as a Region</v>
      </c>
      <c r="G39" s="102"/>
      <c r="H39" s="103"/>
      <c r="I39" s="74">
        <f>100*((I36-I37)/I37)</f>
        <v>-4.721438526122574</v>
      </c>
      <c r="J39" s="74">
        <f t="shared" ref="J39:X39" si="6">100*((J36-J37)/J37)</f>
        <v>-4.2593163086908294</v>
      </c>
      <c r="K39" s="74">
        <f t="shared" si="6"/>
        <v>-6.5320705037487867</v>
      </c>
      <c r="L39" s="74">
        <f t="shared" si="6"/>
        <v>-4.2501869978810554</v>
      </c>
      <c r="M39" s="74">
        <f t="shared" si="6"/>
        <v>-4.2041465880335318</v>
      </c>
      <c r="N39" s="74">
        <f t="shared" si="6"/>
        <v>-5.2733537334650578</v>
      </c>
      <c r="O39" s="74">
        <f t="shared" si="6"/>
        <v>-4.4603631690425827</v>
      </c>
      <c r="P39" s="74">
        <f t="shared" si="6"/>
        <v>-3.9553131211526953</v>
      </c>
      <c r="Q39" s="74">
        <f t="shared" si="6"/>
        <v>-4.3958479984754657</v>
      </c>
      <c r="R39" s="74">
        <f t="shared" si="6"/>
        <v>-5.4781378456438148</v>
      </c>
      <c r="S39" s="74">
        <f t="shared" si="6"/>
        <v>-5.2796134703520021</v>
      </c>
      <c r="T39" s="74">
        <f t="shared" si="6"/>
        <v>-7.0990897886647728</v>
      </c>
      <c r="U39" s="74">
        <f t="shared" si="6"/>
        <v>-7.7910893672236359</v>
      </c>
      <c r="V39" s="74">
        <f t="shared" si="6"/>
        <v>-7.0043115074036084</v>
      </c>
      <c r="W39" s="74">
        <f t="shared" si="6"/>
        <v>-6.5694019462391573</v>
      </c>
      <c r="X39" s="74">
        <f t="shared" si="6"/>
        <v>-3.3376446514970368</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South Kesteven</v>
      </c>
      <c r="G44" s="88"/>
      <c r="H44" s="89"/>
      <c r="I44" s="76">
        <f>VLOOKUP($F44,'LOW PAID'!$A$9:$N$444,6,FALSE)</f>
        <v>28.8</v>
      </c>
      <c r="J44" s="77">
        <f>VLOOKUP($F44,'LOW PAID'!$P$9:$W$444,6,FALSE)</f>
        <v>32</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South Kesteven to Rural as a Region</v>
      </c>
      <c r="G47" s="102"/>
      <c r="H47" s="103"/>
      <c r="I47" s="74">
        <f>(I44-I45)</f>
        <v>3.6061253217868838</v>
      </c>
      <c r="J47" s="74">
        <f>(J44-J45)</f>
        <v>6.3138834909699462</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South Kesteven</v>
      </c>
      <c r="G52" s="88"/>
      <c r="H52" s="89"/>
      <c r="I52" s="76">
        <f>VLOOKUP($F52,INACTIVITY!$A$6:$BW$345,6,FALSE)</f>
        <v>21.2</v>
      </c>
      <c r="J52" s="77">
        <f>VLOOKUP($F52,INACTIVITY!$A$6:$BW$345,10,FALSE)</f>
        <v>20.3</v>
      </c>
      <c r="K52" s="77">
        <f>VLOOKUP($F52,INACTIVITY!$A$6:$BW$345,14,FALSE)</f>
        <v>20.8</v>
      </c>
      <c r="L52" s="77">
        <f>VLOOKUP($F52,INACTIVITY!$A$6:$BW$345,18,FALSE)</f>
        <v>22.3</v>
      </c>
      <c r="M52" s="77">
        <f>VLOOKUP($F52,INACTIVITY!$A$6:$BW$345,22,FALSE)</f>
        <v>21.3</v>
      </c>
      <c r="N52" s="77">
        <f>VLOOKUP($F52,INACTIVITY!$A$6:$BW$345,26,FALSE)</f>
        <v>18.100000000000001</v>
      </c>
      <c r="O52" s="77">
        <f>VLOOKUP($F52,INACTIVITY!$A$6:$BW$345,30,FALSE)</f>
        <v>21.4</v>
      </c>
      <c r="P52" s="77">
        <f>VLOOKUP($F52,INACTIVITY!$A$6:$BW$345,34,FALSE)</f>
        <v>17.3</v>
      </c>
      <c r="Q52" s="77">
        <f>VLOOKUP($F52,INACTIVITY!$A$6:$BW$345,38,FALSE)</f>
        <v>19.100000000000001</v>
      </c>
      <c r="R52" s="77">
        <f>VLOOKUP($F52,INACTIVITY!$A$6:$BW$345,42,FALSE)</f>
        <v>18.399999999999999</v>
      </c>
      <c r="S52" s="77">
        <f>VLOOKUP($F52,INACTIVITY!$A$6:$BW$345,46,FALSE)</f>
        <v>19.7</v>
      </c>
      <c r="T52" s="77">
        <f>VLOOKUP($F52,INACTIVITY!$A$6:$BW$345,50,FALSE)</f>
        <v>17.8</v>
      </c>
      <c r="U52" s="77">
        <f>VLOOKUP($F52,INACTIVITY!$A$6:$BW$345,54,FALSE)</f>
        <v>18.8</v>
      </c>
      <c r="V52" s="77">
        <f>VLOOKUP($F52,INACTIVITY!$A$6:$BW$345,58,FALSE)</f>
        <v>17.7</v>
      </c>
      <c r="W52" s="77">
        <f>VLOOKUP($F52,INACTIVITY!$A$6:$BW$345,62,FALSE)</f>
        <v>15.1</v>
      </c>
      <c r="X52" s="77">
        <f>VLOOKUP($F52,INACTIVITY!$A$6:$BW$345,66,FALSE)</f>
        <v>18.399999999999999</v>
      </c>
      <c r="Y52" s="77">
        <f>VLOOKUP($F52,INACTIVITY!$A$6:$BW$345,70,FALSE)</f>
        <v>24.3</v>
      </c>
      <c r="Z52" s="77">
        <f>VLOOKUP($F52,INACTIVITY!$A$6:$BW$345,74,FALSE)</f>
        <v>22</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South Kesteven to Rural as a Region</v>
      </c>
      <c r="G55" s="102"/>
      <c r="H55" s="103"/>
      <c r="I55" s="74">
        <f>(I52-I53)</f>
        <v>-0.19564457161023796</v>
      </c>
      <c r="J55" s="74">
        <f t="shared" ref="J55:Z55" si="10">(J52-J53)</f>
        <v>-0.70852272727272592</v>
      </c>
      <c r="K55" s="74">
        <f t="shared" si="10"/>
        <v>-6.2465393458776219E-2</v>
      </c>
      <c r="L55" s="74">
        <f t="shared" si="10"/>
        <v>0.98593466846336142</v>
      </c>
      <c r="M55" s="74">
        <f t="shared" si="10"/>
        <v>0.46499768910799588</v>
      </c>
      <c r="N55" s="74">
        <f t="shared" si="10"/>
        <v>-2.833143757920439</v>
      </c>
      <c r="O55" s="74">
        <f t="shared" si="10"/>
        <v>-0.2919371275051752</v>
      </c>
      <c r="P55" s="74">
        <f t="shared" si="10"/>
        <v>-4.1942457807534481</v>
      </c>
      <c r="Q55" s="74">
        <f t="shared" si="10"/>
        <v>-2.0825487944890924</v>
      </c>
      <c r="R55" s="74">
        <f t="shared" si="10"/>
        <v>-2.3745930974387726</v>
      </c>
      <c r="S55" s="74">
        <f t="shared" si="10"/>
        <v>-0.57321045597240072</v>
      </c>
      <c r="T55" s="74">
        <f t="shared" si="10"/>
        <v>-1.8961946834069572</v>
      </c>
      <c r="U55" s="74">
        <f t="shared" si="10"/>
        <v>-1.0524293470694701</v>
      </c>
      <c r="V55" s="74">
        <f t="shared" si="10"/>
        <v>-1.5532773342803772</v>
      </c>
      <c r="W55" s="74">
        <f t="shared" si="10"/>
        <v>-4.0769560091828492</v>
      </c>
      <c r="X55" s="74">
        <f t="shared" si="10"/>
        <v>-0.45206494936493158</v>
      </c>
      <c r="Y55" s="74">
        <f t="shared" si="10"/>
        <v>4.5274172781285387</v>
      </c>
      <c r="Z55" s="74">
        <f t="shared" si="10"/>
        <v>0.91482022436992949</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South Kesteven</v>
      </c>
      <c r="G60" s="88"/>
      <c r="H60" s="89"/>
      <c r="I60" s="76">
        <f>VLOOKUP($F60,DISABILITY!$A$718:$I$1052,DISABILITY!B$1053,FALSE)</f>
        <v>19.299999999999997</v>
      </c>
      <c r="J60" s="77">
        <f>VLOOKUP($F60,DISABILITY!$A$718:$I$1052,DISABILITY!C$1053,FALSE)</f>
        <v>15.500000000000007</v>
      </c>
      <c r="K60" s="77">
        <f>VLOOKUP($F60,DISABILITY!$A$718:$I$1052,DISABILITY!D$1053,FALSE)</f>
        <v>26.1</v>
      </c>
      <c r="L60" s="77">
        <f>VLOOKUP($F60,DISABILITY!$A$718:$I$1052,DISABILITY!E$1053,FALSE)</f>
        <v>24</v>
      </c>
      <c r="M60" s="77">
        <f>VLOOKUP($F60,DISABILITY!$A$718:$I$1052,DISABILITY!F$1053,FALSE)</f>
        <v>23.699999999999996</v>
      </c>
      <c r="N60" s="77">
        <f>VLOOKUP($F60,DISABILITY!$A$718:$I$1052,DISABILITY!G$1053,FALSE)</f>
        <v>28.800000000000004</v>
      </c>
      <c r="O60" s="77">
        <f>VLOOKUP($F60,DISABILITY!$A$718:$I$1052,DISABILITY!H$1053,FALSE)</f>
        <v>36.200000000000003</v>
      </c>
      <c r="P60" s="77">
        <f>VLOOKUP($F60,DISABILITY!$A$718:$I$1052,DISABILITY!I$1053,FALSE)</f>
        <v>35.500000000000007</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South Kesteven to Rural as a Region</v>
      </c>
      <c r="G63" s="102"/>
      <c r="H63" s="103"/>
      <c r="I63" s="74">
        <f>(I60-I61)</f>
        <v>-8.1201565406472511</v>
      </c>
      <c r="J63" s="74">
        <f t="shared" ref="J63:P63" si="12">(J60-J61)</f>
        <v>-11.81904440705118</v>
      </c>
      <c r="K63" s="74">
        <f t="shared" si="12"/>
        <v>-2.0191283614982041</v>
      </c>
      <c r="L63" s="74">
        <f t="shared" si="12"/>
        <v>-1.9909345389966759</v>
      </c>
      <c r="M63" s="74">
        <f t="shared" si="12"/>
        <v>-1.7752258186661223</v>
      </c>
      <c r="N63" s="74">
        <f t="shared" si="12"/>
        <v>3.2687523145580215</v>
      </c>
      <c r="O63" s="74">
        <f t="shared" si="12"/>
        <v>12.402777712003058</v>
      </c>
      <c r="P63" s="74">
        <f t="shared" si="12"/>
        <v>10.145822069657832</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South Kesteven</v>
      </c>
      <c r="G68" s="88"/>
      <c r="H68" s="89"/>
      <c r="I68" s="76">
        <f>VLOOKUP($F68,'WORKLESS HOUSEHOLDS'!$DW$4:$EC$397,7,FALSE)</f>
        <v>3.7592017854198327</v>
      </c>
      <c r="J68" s="77">
        <f>VLOOKUP($F68,'WORKLESS HOUSEHOLDS'!$DN$4:$DT$397,7,FALSE)</f>
        <v>7.0280453477468026</v>
      </c>
      <c r="K68" s="77">
        <f>VLOOKUP($F68,'WORKLESS HOUSEHOLDS'!$DE$4:$DK$397,7,FALSE)</f>
        <v>6.9610903055131974</v>
      </c>
      <c r="L68" s="77">
        <f>VLOOKUP($F68,'WORKLESS HOUSEHOLDS'!$CV$4:$DB$397,7,FALSE)</f>
        <v>12.039934787183853</v>
      </c>
      <c r="M68" s="77">
        <f>VLOOKUP($F68,'WORKLESS HOUSEHOLDS'!$CM$4:$CS$397,7,FALSE)</f>
        <v>6.7475340626048288</v>
      </c>
      <c r="N68" s="77">
        <f>VLOOKUP($F68,'WORKLESS HOUSEHOLDS'!$CD$4:$CJ$397,7,FALSE)</f>
        <v>12.418050234142187</v>
      </c>
      <c r="O68" s="77">
        <f>VLOOKUP($F68,'WORKLESS HOUSEHOLDS'!$BU$4:$CA$397,7,FALSE)</f>
        <v>2.6444039496546172</v>
      </c>
      <c r="P68" s="77">
        <f>VLOOKUP($F68,'WORKLESS HOUSEHOLDS'!$BL$4:$BR$397,7,FALSE)</f>
        <v>9.2223561034386883</v>
      </c>
      <c r="Q68" s="77">
        <f>VLOOKUP($F68,'WORKLESS HOUSEHOLDS'!$BC$4:$BI$397,7,FALSE)</f>
        <v>7.8286345516545799</v>
      </c>
      <c r="R68" s="77">
        <f>VLOOKUP($F68,'WORKLESS HOUSEHOLDS'!$AT$4:$AZ$397,7,FALSE)</f>
        <v>7.127531754205287</v>
      </c>
      <c r="S68" s="77">
        <f>VLOOKUP($F68,'WORKLESS HOUSEHOLDS'!$AK$4:$AQ$397,7,FALSE)</f>
        <v>19.331552055500868</v>
      </c>
      <c r="T68" s="77">
        <f>VLOOKUP($F68,'WORKLESS HOUSEHOLDS'!$AB$4:$AH$397,7,FALSE)</f>
        <v>8.2020997375328086</v>
      </c>
      <c r="U68" s="77">
        <f>VLOOKUP($F68,'WORKLESS HOUSEHOLDS'!$S$4:$Y$397,7,FALSE)</f>
        <v>5.046529591348806</v>
      </c>
      <c r="V68" s="77">
        <f>VLOOKUP($F68,'WORKLESS HOUSEHOLDS'!$J$4:$P$397,7,FALSE)</f>
        <v>11.438822670882995</v>
      </c>
      <c r="W68" s="77">
        <f>VLOOKUP($F68,'WORKLESS HOUSEHOLDS'!$B$4:$H$397,7,FALSE)</f>
        <v>9.2275258122060659</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South Kesteven to Rural as a Region</v>
      </c>
      <c r="G71" s="102"/>
      <c r="H71" s="103"/>
      <c r="I71" s="74">
        <f>(I68-I69)</f>
        <v>-6.2527440771668577</v>
      </c>
      <c r="J71" s="74">
        <f t="shared" ref="J71:W71" si="14">(J68-J69)</f>
        <v>-3.8831094897282217</v>
      </c>
      <c r="K71" s="74">
        <f t="shared" si="14"/>
        <v>-3.3321554236426465</v>
      </c>
      <c r="L71" s="74">
        <f t="shared" si="14"/>
        <v>1.0739281258541205</v>
      </c>
      <c r="M71" s="74">
        <f t="shared" si="14"/>
        <v>-4.9462451185836445</v>
      </c>
      <c r="N71" s="74">
        <f t="shared" si="14"/>
        <v>0.5169505548868063</v>
      </c>
      <c r="O71" s="74">
        <f t="shared" si="14"/>
        <v>-8.390849298087895</v>
      </c>
      <c r="P71" s="74">
        <f t="shared" si="14"/>
        <v>-0.46914178232914949</v>
      </c>
      <c r="Q71" s="74">
        <f t="shared" si="14"/>
        <v>-2.976543708743832</v>
      </c>
      <c r="R71" s="74">
        <f t="shared" si="14"/>
        <v>-3.5785645695242669</v>
      </c>
      <c r="S71" s="74">
        <f t="shared" si="14"/>
        <v>9.178807227351987</v>
      </c>
      <c r="T71" s="74">
        <f t="shared" si="14"/>
        <v>-1.7015684570999419</v>
      </c>
      <c r="U71" s="74">
        <f t="shared" si="14"/>
        <v>-5.7155205733306698</v>
      </c>
      <c r="V71" s="74">
        <f t="shared" si="14"/>
        <v>1.4999541943433474</v>
      </c>
      <c r="W71" s="74">
        <f t="shared" si="14"/>
        <v>-1.1251756109781272</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South Kesteven</v>
      </c>
      <c r="G76" s="88"/>
      <c r="H76" s="89"/>
      <c r="I76" s="76">
        <f>VLOOKUP($F76,'SKILLED EMPLOYMENT'!$A$1506:$BW$1841,6,FALSE)</f>
        <v>48.9</v>
      </c>
      <c r="J76" s="77">
        <f>VLOOKUP($F76,'SKILLED EMPLOYMENT'!$A$1506:$BW$1841,10,FALSE)</f>
        <v>51.499999999999993</v>
      </c>
      <c r="K76" s="77">
        <f>VLOOKUP($F76,'SKILLED EMPLOYMENT'!$A$1506:$BW$1841,14,FALSE)</f>
        <v>55.999999999999993</v>
      </c>
      <c r="L76" s="77">
        <f>VLOOKUP($F76,'SKILLED EMPLOYMENT'!$A$1506:$BW$1841,18,FALSE)</f>
        <v>52.3</v>
      </c>
      <c r="M76" s="77">
        <f>VLOOKUP($F76,'SKILLED EMPLOYMENT'!$A$1506:$BW$1841,22,FALSE)</f>
        <v>48.699999999999996</v>
      </c>
      <c r="N76" s="77">
        <f>VLOOKUP($F76,'SKILLED EMPLOYMENT'!$A$1506:$BW$1841,26,FALSE)</f>
        <v>54.3</v>
      </c>
      <c r="O76" s="77">
        <f>VLOOKUP($F76,'SKILLED EMPLOYMENT'!$A$1506:$BW$1841,30,FALSE)</f>
        <v>59.600000000000009</v>
      </c>
      <c r="P76" s="77">
        <f>VLOOKUP($F76,'SKILLED EMPLOYMENT'!$A$1506:$BW$1841,34,FALSE)</f>
        <v>53.899999999999991</v>
      </c>
      <c r="Q76" s="77">
        <f>VLOOKUP($F76,'SKILLED EMPLOYMENT'!$A$1506:$BW$1841,38,FALSE)</f>
        <v>49.899999999999991</v>
      </c>
      <c r="R76" s="77">
        <f>VLOOKUP($F76,'SKILLED EMPLOYMENT'!$A$1506:$BW$1841,42,FALSE)</f>
        <v>51.099999999999994</v>
      </c>
      <c r="S76" s="77">
        <f>VLOOKUP($F76,'SKILLED EMPLOYMENT'!$A$1506:$BW$1841,46,FALSE)</f>
        <v>47.7</v>
      </c>
      <c r="T76" s="77">
        <f>VLOOKUP($F76,'SKILLED EMPLOYMENT'!$A$1506:$BW$1841,50,FALSE)</f>
        <v>49.699999999999996</v>
      </c>
      <c r="U76" s="77">
        <f>VLOOKUP($F76,'SKILLED EMPLOYMENT'!$A$1506:$BW$1841,54,FALSE)</f>
        <v>48.8</v>
      </c>
      <c r="V76" s="77">
        <f>VLOOKUP($F76,'SKILLED EMPLOYMENT'!$A$1506:$BW$1841,58,FALSE)</f>
        <v>58.8</v>
      </c>
      <c r="W76" s="77">
        <f>VLOOKUP($F76,'SKILLED EMPLOYMENT'!$A$1506:$BW$1841,62,FALSE)</f>
        <v>60.900000000000006</v>
      </c>
      <c r="X76" s="77">
        <f>VLOOKUP($F76,'SKILLED EMPLOYMENT'!$A$1506:$BW$1841,66,FALSE)</f>
        <v>60.599999999999994</v>
      </c>
      <c r="Y76" s="77">
        <f>VLOOKUP($F76,'SKILLED EMPLOYMENT'!$A$1506:$BW$1841,70,FALSE)</f>
        <v>65.599999999999994</v>
      </c>
      <c r="Z76" s="77">
        <f>VLOOKUP($F76,'SKILLED EMPLOYMENT'!$A$1506:$BW$1841,74,FALSE)</f>
        <v>67.400000000000006</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South Kesteven to Rural as a Region</v>
      </c>
      <c r="G79" s="102"/>
      <c r="H79" s="103"/>
      <c r="I79" s="74">
        <f>(I76-I77)</f>
        <v>-3.8000000000000043</v>
      </c>
      <c r="J79" s="74">
        <f t="shared" ref="J79:Z79" si="17">(J76-J77)</f>
        <v>-1.4000000000000057</v>
      </c>
      <c r="K79" s="74">
        <f t="shared" si="17"/>
        <v>2.4999999999999929</v>
      </c>
      <c r="L79" s="74">
        <f t="shared" si="17"/>
        <v>-1.7000000000000028</v>
      </c>
      <c r="M79" s="74">
        <f t="shared" si="17"/>
        <v>-5.4000000000000057</v>
      </c>
      <c r="N79" s="74">
        <f t="shared" si="17"/>
        <v>-0.10000000000000142</v>
      </c>
      <c r="O79" s="74">
        <f t="shared" si="17"/>
        <v>4.2000000000000099</v>
      </c>
      <c r="P79" s="74">
        <f t="shared" si="17"/>
        <v>-1.7000000000000099</v>
      </c>
      <c r="Q79" s="74">
        <f t="shared" si="17"/>
        <v>-5.5000000000000071</v>
      </c>
      <c r="R79" s="74">
        <f t="shared" si="17"/>
        <v>-5.1000000000000085</v>
      </c>
      <c r="S79" s="74">
        <f t="shared" si="17"/>
        <v>-8.5</v>
      </c>
      <c r="T79" s="74">
        <f t="shared" si="17"/>
        <v>-7.1000000000000014</v>
      </c>
      <c r="U79" s="74">
        <f t="shared" si="17"/>
        <v>-7.8000000000000043</v>
      </c>
      <c r="V79" s="74">
        <f t="shared" si="17"/>
        <v>1.6999999999999957</v>
      </c>
      <c r="W79" s="74">
        <f t="shared" si="17"/>
        <v>3.1000000000000085</v>
      </c>
      <c r="X79" s="74">
        <f t="shared" si="17"/>
        <v>1.7999999999999972</v>
      </c>
      <c r="Y79" s="74">
        <f t="shared" si="17"/>
        <v>6.8999999999999915</v>
      </c>
      <c r="Z79" s="74">
        <f t="shared" si="17"/>
        <v>9.0000000000000071</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6IO1YH/VeDonS9DDFioxdPjVW04HGd8LdrzYGHynRTCyo1limGsw+Lr+462O8R9ZZR9qSxhTs9gIM/lyYPQQiA==" saltValue="D+0LgWmMO0QMj5QehN0n/w=="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2022-08-02T13:20:21Z</dcterms:modified>
</cp:coreProperties>
</file>