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0" documentId="8_{522BA58A-66D0-4AD3-868A-EE1DD1235B24}" xr6:coauthVersionLast="47" xr6:coauthVersionMax="47" xr10:uidLastSave="{DF5C9403-3FA7-4C65-87DE-0880A4C7AFF8}"/>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<sst xmlns="http://schemas.openxmlformats.org/spreadsheetml/2006/main" count="32859" uniqueCount="1676">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</sst>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South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27.06</c:v>
                </c:pt>
                <c:pt idx="1">
                  <c:v>26.9</c:v>
                </c:pt>
                <c:pt idx="2">
                  <c:v>27.99</c:v>
                </c:pt>
                <c:pt idx="3">
                  <c:v>28.42</c:v>
                </c:pt>
                <c:pt idx="4">
                  <c:v>28.17</c:v>
                </c:pt>
                <c:pt idx="5">
                  <c:v>27.75</c:v>
                </c:pt>
                <c:pt idx="6">
                  <c:v>27.29</c:v>
                </c:pt>
                <c:pt idx="7">
                  <c:v>27.27</c:v>
                </c:pt>
                <c:pt idx="8">
                  <c:v>27.65</c:v>
                </c:pt>
                <c:pt idx="9">
                  <c:v>28.12</c:v>
                </c:pt>
                <c:pt idx="10">
                  <c:v>28.65</c:v>
                </c:pt>
                <c:pt idx="11">
                  <c:v>28.69</c:v>
                </c:pt>
                <c:pt idx="12">
                  <c:v>28.86</c:v>
                </c:pt>
                <c:pt idx="13">
                  <c:v>28.74</c:v>
                </c:pt>
                <c:pt idx="14">
                  <c:v>29.09</c:v>
                </c:pt>
                <c:pt idx="15">
                  <c:v>29.24</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South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471.2</c:v>
                </c:pt>
                <c:pt idx="1">
                  <c:v>486.1</c:v>
                </c:pt>
                <c:pt idx="2">
                  <c:v>479.2</c:v>
                </c:pt>
                <c:pt idx="3">
                  <c:v>487.8</c:v>
                </c:pt>
                <c:pt idx="4">
                  <c:v>496.6</c:v>
                </c:pt>
                <c:pt idx="5">
                  <c:v>475.6</c:v>
                </c:pt>
                <c:pt idx="6">
                  <c:v>470.4</c:v>
                </c:pt>
                <c:pt idx="7">
                  <c:v>489.1</c:v>
                </c:pt>
                <c:pt idx="8">
                  <c:v>499.7</c:v>
                </c:pt>
                <c:pt idx="9">
                  <c:v>538.79999999999995</c:v>
                </c:pt>
                <c:pt idx="10">
                  <c:v>566.70000000000005</c:v>
                </c:pt>
                <c:pt idx="11">
                  <c:v>565.1</c:v>
                </c:pt>
                <c:pt idx="12">
                  <c:v>558.1</c:v>
                </c:pt>
                <c:pt idx="13">
                  <c:v>617.9</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South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75.400000000000006</c:v>
                </c:pt>
                <c:pt idx="1">
                  <c:v>78.7</c:v>
                </c:pt>
                <c:pt idx="2">
                  <c:v>80.5</c:v>
                </c:pt>
                <c:pt idx="3">
                  <c:v>80.099999999999994</c:v>
                </c:pt>
                <c:pt idx="4">
                  <c:v>73.2</c:v>
                </c:pt>
                <c:pt idx="5">
                  <c:v>77.8</c:v>
                </c:pt>
                <c:pt idx="6">
                  <c:v>72.5</c:v>
                </c:pt>
                <c:pt idx="7">
                  <c:v>75.099999999999994</c:v>
                </c:pt>
                <c:pt idx="8">
                  <c:v>86.6</c:v>
                </c:pt>
                <c:pt idx="9">
                  <c:v>78.3</c:v>
                </c:pt>
                <c:pt idx="10">
                  <c:v>72.8</c:v>
                </c:pt>
                <c:pt idx="11">
                  <c:v>79.2</c:v>
                </c:pt>
                <c:pt idx="12">
                  <c:v>86.1</c:v>
                </c:pt>
                <c:pt idx="13">
                  <c:v>74.900000000000006</c:v>
                </c:pt>
                <c:pt idx="14">
                  <c:v>79.2</c:v>
                </c:pt>
                <c:pt idx="15">
                  <c:v>83</c:v>
                </c:pt>
                <c:pt idx="16">
                  <c:v>76.2</c:v>
                </c:pt>
                <c:pt idx="17">
                  <c:v>74.900000000000006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South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13986</c:v>
                </c:pt>
                <c:pt idx="1">
                  <c:v>14576</c:v>
                </c:pt>
                <c:pt idx="2">
                  <c:v>14747</c:v>
                </c:pt>
                <c:pt idx="3">
                  <c:v>15590</c:v>
                </c:pt>
                <c:pt idx="4">
                  <c:v>16161</c:v>
                </c:pt>
                <c:pt idx="5">
                  <c:v>16134</c:v>
                </c:pt>
                <c:pt idx="6">
                  <c:v>16489</c:v>
                </c:pt>
                <c:pt idx="7">
                  <c:v>16834</c:v>
                </c:pt>
                <c:pt idx="8">
                  <c:v>17414</c:v>
                </c:pt>
                <c:pt idx="9">
                  <c:v>17506</c:v>
                </c:pt>
                <c:pt idx="10">
                  <c:v>17946</c:v>
                </c:pt>
                <c:pt idx="11">
                  <c:v>18921</c:v>
                </c:pt>
                <c:pt idx="12">
                  <c:v>19401</c:v>
                </c:pt>
                <c:pt idx="13">
                  <c:v>19751</c:v>
                </c:pt>
                <c:pt idx="14">
                  <c:v>20364</c:v>
                </c:pt>
                <c:pt idx="15">
                  <c:v>20564</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South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20.2</c:v>
                </c:pt>
                <c:pt idx="1">
                  <c:v>22</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South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22.6</c:v>
                </c:pt>
                <c:pt idx="1">
                  <c:v>19.899999999999999</c:v>
                </c:pt>
                <c:pt idx="2">
                  <c:v>17.2</c:v>
                </c:pt>
                <c:pt idx="3">
                  <c:v>17.600000000000001</c:v>
                </c:pt>
                <c:pt idx="4">
                  <c:v>22.9</c:v>
                </c:pt>
                <c:pt idx="5">
                  <c:v>18.7</c:v>
                </c:pt>
                <c:pt idx="6">
                  <c:v>20.6</c:v>
                </c:pt>
                <c:pt idx="7">
                  <c:v>17.8</c:v>
                </c:pt>
                <c:pt idx="8">
                  <c:v>10.6</c:v>
                </c:pt>
                <c:pt idx="9">
                  <c:v>15.6</c:v>
                </c:pt>
                <c:pt idx="10">
                  <c:v>23.5</c:v>
                </c:pt>
                <c:pt idx="11">
                  <c:v>18</c:v>
                </c:pt>
                <c:pt idx="12">
                  <c:v>11.8</c:v>
                </c:pt>
                <c:pt idx="13">
                  <c:v>23.7</c:v>
                </c:pt>
                <c:pt idx="14">
                  <c:v>18.7</c:v>
                </c:pt>
                <c:pt idx="15">
                  <c:v>14.6</c:v>
                </c:pt>
                <c:pt idx="16">
                  <c:v>22.6</c:v>
                </c:pt>
                <c:pt idx="17">
                  <c:v>19.5</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South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7.8000000000000114</c:v>
                </c:pt>
                <c:pt idx="1">
                  <c:v>27.799999999999997</c:v>
                </c:pt>
                <c:pt idx="2">
                  <c:v>11.399999999999991</c:v>
                </c:pt>
                <c:pt idx="3">
                  <c:v>24.1</c:v>
                </c:pt>
                <c:pt idx="4">
                  <c:v>33.699999999999996</c:v>
                </c:pt>
                <c:pt idx="5">
                  <c:v>18.299999999999997</c:v>
                </c:pt>
                <c:pt idx="6">
                  <c:v>3.4000000000000057</c:v>
                </c:pt>
                <c:pt idx="7">
                  <c:v>28.9</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South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4.4467404778633535</c:v>
                </c:pt>
                <c:pt idx="1">
                  <c:v>0</c:v>
                </c:pt>
                <c:pt idx="2">
                  <c:v>5.1759387704686226</c:v>
                </c:pt>
                <c:pt idx="3">
                  <c:v>5.3220587365230489</c:v>
                </c:pt>
                <c:pt idx="4">
                  <c:v>2.8620674461097688</c:v>
                </c:pt>
                <c:pt idx="5">
                  <c:v>0</c:v>
                </c:pt>
                <c:pt idx="6">
                  <c:v>0</c:v>
                </c:pt>
                <c:pt idx="7">
                  <c:v>0</c:v>
                </c:pt>
                <c:pt idx="8">
                  <c:v>5.6281608332081516</c:v>
                </c:pt>
                <c:pt idx="9">
                  <c:v>5.2936348714207551</c:v>
                </c:pt>
                <c:pt idx="10">
                  <c:v>0</c:v>
                </c:pt>
                <c:pt idx="11">
                  <c:v>0</c:v>
                </c:pt>
                <c:pt idx="12">
                  <c:v>9.7192421821501931</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South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53.7</c:v>
                </c:pt>
                <c:pt idx="1">
                  <c:v>58.3</c:v>
                </c:pt>
                <c:pt idx="2">
                  <c:v>57.6</c:v>
                </c:pt>
                <c:pt idx="3">
                  <c:v>51.699999999999996</c:v>
                </c:pt>
                <c:pt idx="4">
                  <c:v>54.699999999999996</c:v>
                </c:pt>
                <c:pt idx="5">
                  <c:v>60.699999999999996</c:v>
                </c:pt>
                <c:pt idx="6">
                  <c:v>51.599999999999994</c:v>
                </c:pt>
                <c:pt idx="7">
                  <c:v>54</c:v>
                </c:pt>
                <c:pt idx="8">
                  <c:v>60.900000000000006</c:v>
                </c:pt>
                <c:pt idx="9">
                  <c:v>53.400000000000006</c:v>
                </c:pt>
                <c:pt idx="10">
                  <c:v>59</c:v>
                </c:pt>
                <c:pt idx="11">
                  <c:v>61.7</c:v>
                </c:pt>
                <c:pt idx="12">
                  <c:v>55.5</c:v>
                </c:pt>
                <c:pt idx="13">
                  <c:v>66.2</c:v>
                </c:pt>
                <c:pt idx="14">
                  <c:v>60.600000000000009</c:v>
                </c:pt>
                <c:pt idx="15">
                  <c:v>56.5</c:v>
                </c:pt>
                <c:pt idx="16">
                  <c:v>61.7</c:v>
                </c:pt>
                <c:pt idx="17">
                  <c:v>61</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60960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South Norfolk has from 2004 to 2021 remained within 5% of the rural situation with exceptions in 2012 and 2016 where it was 13% and 9% greater respectively.</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From a starting point in 2004 similar to that of the England situation, South Norfolk's GDHI has increased at lower rate than both England and the rural situation, moving it further behind both.</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increasing between 2017 and 2018 for South Norfolk, it's proportion remained below that seen for England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South Norfolk's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South Norfolk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South Norfolk, where data is available, shows that the proportion of children in workless households is consistently below the England and rural situation.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South Norfolk in general follows a similar trend of proportion of employed people in skilled employment as that seen for 'Rural as a Region' and England, however with some years being materially greater.</a:t>
          </a:r>
          <a:endParaRPr lang="en-GB" sz="1100">
            <a:latin typeface="Avenir Next LT Pro" panose="020B0504020202020204" pitchFamily="34" charset="0"/>
          </a:endParaRPr>
        </a:p>
      </xdr:txBody>
    </xdr:sp>
    <xdr:clientData/>
  </xdr:twoCellAnchor>
  <xdr:twoCellAnchor>
    <xdr:from>
      <xdr:col>0</xdr:col>
      <xdr:colOff>609600</xdr:colOff>
      <xdr:row>21</xdr:row>
      <xdr:rowOff>7620</xdr:rowOff>
    </xdr:from>
    <xdr:to>
      <xdr:col>1</xdr:col>
      <xdr:colOff>2590800</xdr:colOff>
      <xdr:row>22</xdr:row>
      <xdr:rowOff>182880</xdr:rowOff>
    </xdr:to>
    <xdr:sp macro="" textlink="">
      <xdr:nvSpPr>
        <xdr:cNvPr id="20" name="TextBox 19">
          <a:extLst>
            <a:ext uri="{FF2B5EF4-FFF2-40B4-BE49-F238E27FC236}">
              <a16:creationId xmlns:a16="http://schemas.microsoft.com/office/drawing/2014/main" id="{902A0C26-4BF5-4951-9CBA-8DDD8CF69698}"/>
            </a:ext>
          </a:extLst>
        </xdr:cNvPr>
        <xdr:cNvSpPr txBox="1"/>
      </xdr:nvSpPr>
      <xdr:spPr>
        <a:xfrm>
          <a:off x="609600" y="75819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South Norfolk has fluctuated from 2008 to 2021 between the upper bound being the England situation and the lower bound being the rural situation.</a:t>
          </a:r>
          <a:endParaRPr lang="en-GB" sz="1100">
            <a:latin typeface="Avenir Next LT Pro" panose="020B0504020202020204" pitchFamily="34" charset="0"/>
          </a:endParaRPr>
        </a:p>
      </xdr:txBody>
    </xdr:sp>
    <xdr:clientData/>
  </xdr:twoCellAnchor>
  <xdr:twoCellAnchor>
    <xdr:from>
      <xdr:col>0</xdr:col>
      <xdr:colOff>541020</xdr:colOff>
      <xdr:row>12</xdr:row>
      <xdr:rowOff>563880</xdr:rowOff>
    </xdr:from>
    <xdr:to>
      <xdr:col>1</xdr:col>
      <xdr:colOff>2522220</xdr:colOff>
      <xdr:row>14</xdr:row>
      <xdr:rowOff>274320</xdr:rowOff>
    </xdr:to>
    <xdr:sp macro="" textlink="">
      <xdr:nvSpPr>
        <xdr:cNvPr id="21" name="TextBox 20">
          <a:extLst>
            <a:ext uri="{FF2B5EF4-FFF2-40B4-BE49-F238E27FC236}">
              <a16:creationId xmlns:a16="http://schemas.microsoft.com/office/drawing/2014/main" id="{0D0CA124-DDAF-4400-AC9B-9802C3296371}"/>
            </a:ext>
          </a:extLst>
        </xdr:cNvPr>
        <xdr:cNvSpPr txBox="1"/>
      </xdr:nvSpPr>
      <xdr:spPr>
        <a:xfrm>
          <a:off x="541020" y="355092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South Norfolk does not show the same rate of increase as England or 'Rural as a Region', it therefore moves from being greater than both in 2004, to being less than both in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376</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South Norfolk</v>
      </c>
      <c r="G12" s="88" t="str">
        <f>IFERROR(VLOOKUP(F12,GVA!B244:B552,1,FALSE),VLOOKUP(F12,GVA!B6:C230,2,FALSE))</f>
        <v>South Norfolk</v>
      </c>
      <c r="H12" s="89" t="str">
        <f>IF(F12=G12,"",G12)</f>
        <v/>
      </c>
      <c r="I12" s="76">
        <f>IFERROR(VLOOKUP($F12,GVA!$B$7:$S$230,GVA!D$3,FALSE),VLOOKUP($F12,GVA!$B$244:$T$554,GVA!E$3,FALSE))</f>
        <v>27.06</v>
      </c>
      <c r="J12" s="77">
        <f>IFERROR(VLOOKUP($F12,GVA!$B$7:$S$230,GVA!E$3,FALSE),VLOOKUP($F12,GVA!$B$244:$T$554,GVA!F$3,FALSE))</f>
        <v>26.9</v>
      </c>
      <c r="K12" s="77">
        <f>IFERROR(VLOOKUP($F12,GVA!$B$7:$S$230,GVA!F$3,FALSE),VLOOKUP($F12,GVA!$B$244:$T$554,GVA!G$3,FALSE))</f>
        <v>27.99</v>
      </c>
      <c r="L12" s="77">
        <f>IFERROR(VLOOKUP($F12,GVA!$B$7:$S$230,GVA!G$3,FALSE),VLOOKUP($F12,GVA!$B$244:$T$554,GVA!H$3,FALSE))</f>
        <v>28.42</v>
      </c>
      <c r="M12" s="77">
        <f>IFERROR(VLOOKUP($F12,GVA!$B$7:$S$230,GVA!H$3,FALSE),VLOOKUP($F12,GVA!$B$244:$T$554,GVA!I$3,FALSE))</f>
        <v>28.17</v>
      </c>
      <c r="N12" s="77">
        <f>IFERROR(VLOOKUP($F12,GVA!$B$7:$S$230,GVA!I$3,FALSE),VLOOKUP($F12,GVA!$B$244:$T$554,GVA!J$3,FALSE))</f>
        <v>27.75</v>
      </c>
      <c r="O12" s="77">
        <f>IFERROR(VLOOKUP($F12,GVA!$B$7:$S$230,GVA!J$3,FALSE),VLOOKUP($F12,GVA!$B$244:$T$554,GVA!K$3,FALSE))</f>
        <v>27.29</v>
      </c>
      <c r="P12" s="77">
        <f>IFERROR(VLOOKUP($F12,GVA!$B$7:$S$230,GVA!K$3,FALSE),VLOOKUP($F12,GVA!$B$244:$T$554,GVA!L$3,FALSE))</f>
        <v>27.27</v>
      </c>
      <c r="Q12" s="77">
        <f>IFERROR(VLOOKUP($F12,GVA!$B$7:$S$230,GVA!L$3,FALSE),VLOOKUP($F12,GVA!$B$244:$T$554,GVA!M$3,FALSE))</f>
        <v>27.65</v>
      </c>
      <c r="R12" s="77">
        <f>IFERROR(VLOOKUP($F12,GVA!$B$7:$S$230,GVA!M$3,FALSE),VLOOKUP($F12,GVA!$B$244:$T$554,GVA!N$3,FALSE))</f>
        <v>28.12</v>
      </c>
      <c r="S12" s="77">
        <f>IFERROR(VLOOKUP($F12,GVA!$B$7:$S$230,GVA!N$3,FALSE),VLOOKUP($F12,GVA!$B$244:$T$554,GVA!O$3,FALSE))</f>
        <v>28.65</v>
      </c>
      <c r="T12" s="77">
        <f>IFERROR(VLOOKUP($F12,GVA!$B$7:$S$230,GVA!O$3,FALSE),VLOOKUP($F12,GVA!$B$244:$T$554,GVA!P$3,FALSE))</f>
        <v>28.69</v>
      </c>
      <c r="U12" s="77">
        <f>IFERROR(VLOOKUP($F12,GVA!$B$7:$S$230,GVA!P$3,FALSE),VLOOKUP($F12,GVA!$B$244:$T$554,GVA!Q$3,FALSE))</f>
        <v>28.86</v>
      </c>
      <c r="V12" s="77">
        <f>IFERROR(VLOOKUP($F12,GVA!$B$7:$S$230,GVA!Q$3,FALSE),VLOOKUP($F12,GVA!$B$244:$T$554,GVA!R$3,FALSE))</f>
        <v>28.74</v>
      </c>
      <c r="W12" s="77">
        <f>IFERROR(VLOOKUP($F12,GVA!$B$7:$S$230,GVA!R$3,FALSE),VLOOKUP($F12,GVA!$B$244:$T$554,GVA!S$3,FALSE))</f>
        <v>29.09</v>
      </c>
      <c r="X12" s="77">
        <f>IFERROR(VLOOKUP($F12,GVA!$B$7:$S$230,GVA!S$3,FALSE),VLOOKUP($F12,GVA!$B$244:$T$554,GVA!T$3,FALSE))</f>
        <v>29.24</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South Norfolk to Rural as a Region</v>
      </c>
      <c r="G15" s="102"/>
      <c r="H15" s="103"/>
      <c r="I15" s="74">
        <f>100*((I12-I13)/I13)</f>
        <v>14.952689683771927</v>
      </c>
      <c r="J15" s="74">
        <f t="shared" ref="J15:X15" si="0">100*((J12-J13)/J13)</f>
        <v>14.591151591374722</v>
      </c>
      <c r="K15" s="74">
        <f t="shared" si="0"/>
        <v>15.166566251781679</v>
      </c>
      <c r="L15" s="74">
        <f t="shared" si="0"/>
        <v>14.418818657617742</v>
      </c>
      <c r="M15" s="74">
        <f t="shared" si="0"/>
        <v>11.499696074412318</v>
      </c>
      <c r="N15" s="74">
        <f t="shared" si="0"/>
        <v>8.9399965415874068</v>
      </c>
      <c r="O15" s="74">
        <f t="shared" si="0"/>
        <v>5.815719383115562</v>
      </c>
      <c r="P15" s="74">
        <f t="shared" si="0"/>
        <v>4.1848026306812898</v>
      </c>
      <c r="Q15" s="74">
        <f t="shared" si="0"/>
        <v>3.5165129027944735</v>
      </c>
      <c r="R15" s="74">
        <f t="shared" si="0"/>
        <v>3.4815408676908932</v>
      </c>
      <c r="S15" s="74">
        <f t="shared" si="0"/>
        <v>3.7117480510413436</v>
      </c>
      <c r="T15" s="74">
        <f t="shared" si="0"/>
        <v>1.9251915887060138</v>
      </c>
      <c r="U15" s="74">
        <f t="shared" si="0"/>
        <v>7.9676011740879765E-2</v>
      </c>
      <c r="V15" s="74">
        <f t="shared" si="0"/>
        <v>-2.9736953157968715</v>
      </c>
      <c r="W15" s="74">
        <f t="shared" si="0"/>
        <v>-3.785107631246269</v>
      </c>
      <c r="X15" s="74">
        <f t="shared" si="0"/>
        <v>-4.2921548838605057</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South Norfolk</v>
      </c>
      <c r="G20" s="88"/>
      <c r="H20" s="89"/>
      <c r="I20" s="80">
        <f>IF(VLOOKUP($F20,PAY!$A$11:$AE$349,4,FALSE)="-",#N/A,VLOOKUP($F20,PAY!$A$11:$AE$349,4,FALSE))</f>
        <v>471.2</v>
      </c>
      <c r="J20" s="80">
        <f>IF(VLOOKUP($F20,PAY!$A$11:$AE$349,6,FALSE)="-",#N/A,VLOOKUP($F20,PAY!$A$11:$AE$349,6,FALSE))</f>
        <v>486.1</v>
      </c>
      <c r="K20" s="80">
        <f>IF(VLOOKUP($F20,PAY!$A$11:$AE$349,8,FALSE)="-",#N/A,VLOOKUP($F20,PAY!$A$11:$AE$349,8,FALSE))</f>
        <v>479.2</v>
      </c>
      <c r="L20" s="80">
        <f>IF(VLOOKUP($F20,PAY!$A$11:$AE$349,10,FALSE)="-",#N/A,VLOOKUP($F20,PAY!$A$11:$AE$349,10,FALSE))</f>
        <v>487.8</v>
      </c>
      <c r="M20" s="80">
        <f>IF(VLOOKUP($F20,PAY!$A$11:$AE$349,12,FALSE)="-",#N/A,VLOOKUP($F20,PAY!$A$11:$AE$349,12,FALSE))</f>
        <v>496.6</v>
      </c>
      <c r="N20" s="80">
        <f>IF(VLOOKUP($F20,PAY!$A$11:$AE$349,14,FALSE)="-",#N/A,VLOOKUP($F20,PAY!$A$11:$AE$349,14,FALSE))</f>
        <v>475.6</v>
      </c>
      <c r="O20" s="80">
        <f>IF(VLOOKUP($F20,PAY!$A$11:$AE$349,16,FALSE)="-",#N/A,VLOOKUP($F20,PAY!$A$11:$AE$349,16,FALSE))</f>
        <v>470.4</v>
      </c>
      <c r="P20" s="80">
        <f>IF(VLOOKUP($F20,PAY!$A$11:$AE$349,18,FALSE)="-",#N/A,VLOOKUP($F20,PAY!$A$11:$AE$349,18,FALSE))</f>
        <v>489.1</v>
      </c>
      <c r="Q20" s="80">
        <f>IF(VLOOKUP($F20,PAY!$A$11:$AE$349,20,FALSE)="-",#N/A,VLOOKUP($F20,PAY!$A$11:$AE$349,20,FALSE))</f>
        <v>499.7</v>
      </c>
      <c r="R20" s="80">
        <f>IF(VLOOKUP($F20,PAY!$A$11:$AE$349,22,FALSE)="-",#N/A,VLOOKUP($F20,PAY!$A$11:$AE$349,22,FALSE))</f>
        <v>538.79999999999995</v>
      </c>
      <c r="S20" s="80">
        <f>IF(VLOOKUP($F20,PAY!$A$11:$AE$349,24,FALSE)="-",#N/A,VLOOKUP($F20,PAY!$A$11:$AE$349,24,FALSE))</f>
        <v>566.70000000000005</v>
      </c>
      <c r="T20" s="80">
        <f>IF(VLOOKUP($F20,PAY!$A$11:$AE$349,26,FALSE)="-",#N/A,VLOOKUP($F20,PAY!$A$11:$AE$349,26,FALSE))</f>
        <v>565.1</v>
      </c>
      <c r="U20" s="80">
        <f>IF(VLOOKUP($F20,PAY!$A$11:$AE$349,28,FALSE)="-",#N/A,VLOOKUP($F20,PAY!$A$11:$AE$349,28,FALSE))</f>
        <v>558.1</v>
      </c>
      <c r="V20" s="80">
        <f>IF(VLOOKUP($F20,PAY!$A$11:$AE$349,30,FALSE)="-",#N/A,VLOOKUP($F20,PAY!$A$11:$AE$349,30,FALSE))</f>
        <v>617.9</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South Norfolk to Rural as a Region</v>
      </c>
      <c r="G23" s="102"/>
      <c r="H23" s="103"/>
      <c r="I23" s="74">
        <f>100*((I20-I21)/I21)</f>
        <v>8.8240797043828056</v>
      </c>
      <c r="J23" s="74">
        <f t="shared" ref="J23:V23" si="2">100*((J20-J21)/J21)</f>
        <v>11.254792012359102</v>
      </c>
      <c r="K23" s="74">
        <f t="shared" si="2"/>
        <v>6.9373942470388874</v>
      </c>
      <c r="L23" s="74">
        <f t="shared" si="2"/>
        <v>8.2428879600917053</v>
      </c>
      <c r="M23" s="74">
        <f t="shared" si="2"/>
        <v>9.0845896752881945</v>
      </c>
      <c r="N23" s="74">
        <f t="shared" si="2"/>
        <v>2.6832027897875474</v>
      </c>
      <c r="O23" s="74">
        <f t="shared" si="2"/>
        <v>-8.5499040152288944E-2</v>
      </c>
      <c r="P23" s="74">
        <f t="shared" si="2"/>
        <v>3.00712592873005</v>
      </c>
      <c r="Q23" s="74">
        <f t="shared" si="2"/>
        <v>2.0874548412039449</v>
      </c>
      <c r="R23" s="74">
        <f t="shared" si="2"/>
        <v>6.8926809055637417</v>
      </c>
      <c r="S23" s="74">
        <f t="shared" si="2"/>
        <v>10.161700594316674</v>
      </c>
      <c r="T23" s="74">
        <f t="shared" si="2"/>
        <v>5.883691309749806</v>
      </c>
      <c r="U23" s="74">
        <f t="shared" si="2"/>
        <v>5.0940399754974699</v>
      </c>
      <c r="V23" s="74">
        <f t="shared" si="2"/>
        <v>9.5073783285752622</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South Norfolk</v>
      </c>
      <c r="G28" s="88"/>
      <c r="H28" s="89"/>
      <c r="I28" s="76">
        <f>VLOOKUP($F28,EMPLOYMENT!$A$6:$BW$345,6,FALSE)</f>
        <v>75.400000000000006</v>
      </c>
      <c r="J28" s="77">
        <f>VLOOKUP($F28,EMPLOYMENT!$A$6:$BW$345,10,FALSE)</f>
        <v>78.7</v>
      </c>
      <c r="K28" s="77">
        <f>VLOOKUP($F28,EMPLOYMENT!$A$6:$BW$345,14,FALSE)</f>
        <v>80.5</v>
      </c>
      <c r="L28" s="77">
        <f>VLOOKUP($F28,EMPLOYMENT!$A$6:$BW$345,18,FALSE)</f>
        <v>80.099999999999994</v>
      </c>
      <c r="M28" s="77">
        <f>VLOOKUP($F28,EMPLOYMENT!$A$6:$BW$345,22,FALSE)</f>
        <v>73.2</v>
      </c>
      <c r="N28" s="77">
        <f>VLOOKUP($F28,EMPLOYMENT!$A$6:$BW$345,26,FALSE)</f>
        <v>77.8</v>
      </c>
      <c r="O28" s="77">
        <f>VLOOKUP($F28,EMPLOYMENT!$A$6:$BW$345,30,FALSE)</f>
        <v>72.5</v>
      </c>
      <c r="P28" s="77">
        <f>VLOOKUP($F28,EMPLOYMENT!$A$6:$BW$345,34,FALSE)</f>
        <v>75.099999999999994</v>
      </c>
      <c r="Q28" s="77">
        <f>VLOOKUP($F28,EMPLOYMENT!$A$6:$BW$345,38,FALSE)</f>
        <v>86.6</v>
      </c>
      <c r="R28" s="77">
        <f>VLOOKUP($F28,EMPLOYMENT!$A$6:$BW$345,42,FALSE)</f>
        <v>78.3</v>
      </c>
      <c r="S28" s="77">
        <f>VLOOKUP($F28,EMPLOYMENT!$A$6:$BW$345,46,FALSE)</f>
        <v>72.8</v>
      </c>
      <c r="T28" s="77">
        <f>VLOOKUP($F28,EMPLOYMENT!$A$6:$BW$345,50,FALSE)</f>
        <v>79.2</v>
      </c>
      <c r="U28" s="77">
        <f>VLOOKUP($F28,EMPLOYMENT!$A$6:$BW$345,54,FALSE)</f>
        <v>86.1</v>
      </c>
      <c r="V28" s="77">
        <f>VLOOKUP($F28,EMPLOYMENT!$A$6:$BW$345,58,FALSE)</f>
        <v>74.900000000000006</v>
      </c>
      <c r="W28" s="77">
        <f>VLOOKUP($F28,EMPLOYMENT!$A$6:$BW$345,62,FALSE)</f>
        <v>79.2</v>
      </c>
      <c r="X28" s="77">
        <f>VLOOKUP($F28,EMPLOYMENT!$A$6:$BW$345,66,FALSE)</f>
        <v>83</v>
      </c>
      <c r="Y28" s="77">
        <f>VLOOKUP($F28,EMPLOYMENT!$A$6:$BW$345,70,FALSE)</f>
        <v>76.2</v>
      </c>
      <c r="Z28" s="77">
        <f>VLOOKUP($F28,EMPLOYMENT!$A$6:$BW$345,74,FALSE)</f>
        <v>74.900000000000006</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South Norfolk to Rural as a Region</v>
      </c>
      <c r="G31" s="102"/>
      <c r="H31" s="103"/>
      <c r="I31" s="74">
        <f>(I28-I29)</f>
        <v>-0.71134191940173253</v>
      </c>
      <c r="J31" s="74">
        <f t="shared" ref="J31:Z31" si="4">(J28-J29)</f>
        <v>2.3870245333170459</v>
      </c>
      <c r="K31" s="74">
        <f t="shared" si="4"/>
        <v>4.6268111005132369</v>
      </c>
      <c r="L31" s="74">
        <f t="shared" si="4"/>
        <v>4.4595316973721566</v>
      </c>
      <c r="M31" s="74">
        <f t="shared" si="4"/>
        <v>-2.5355243733317394</v>
      </c>
      <c r="N31" s="74">
        <f t="shared" si="4"/>
        <v>3.2904601571268159</v>
      </c>
      <c r="O31" s="74">
        <f t="shared" si="4"/>
        <v>-1.047133138969869</v>
      </c>
      <c r="P31" s="74">
        <f t="shared" si="4"/>
        <v>1.3657045967223809</v>
      </c>
      <c r="Q31" s="74">
        <f t="shared" si="4"/>
        <v>12.566842524537421</v>
      </c>
      <c r="R31" s="74">
        <f t="shared" si="4"/>
        <v>3.5555250700997902</v>
      </c>
      <c r="S31" s="74">
        <f t="shared" si="4"/>
        <v>-3.3088603400756114</v>
      </c>
      <c r="T31" s="74">
        <f t="shared" si="4"/>
        <v>2.0094680243909835</v>
      </c>
      <c r="U31" s="74">
        <f t="shared" si="4"/>
        <v>9.1283675182919524</v>
      </c>
      <c r="V31" s="74">
        <f t="shared" si="4"/>
        <v>-3.132786885245892</v>
      </c>
      <c r="W31" s="74">
        <f t="shared" si="4"/>
        <v>1.1518431065858579</v>
      </c>
      <c r="X31" s="74">
        <f t="shared" si="4"/>
        <v>4.4087006210432946</v>
      </c>
      <c r="Y31" s="74">
        <f t="shared" si="4"/>
        <v>-0.81434629612920162</v>
      </c>
      <c r="Z31" s="74">
        <f t="shared" si="4"/>
        <v>-1.2557580778790367</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South Norfolk</v>
      </c>
      <c r="G36" s="88" t="str">
        <f>IFERROR(VLOOKUP(F36,GDHI!B338:C574,2,FALSE),VLOOKUP(F36,GDHI!C3:C336,1,FALSE))</f>
        <v>South Norfolk</v>
      </c>
      <c r="H36" s="89" t="str">
        <f>IF(F36=G36,"",G36)</f>
        <v/>
      </c>
      <c r="I36" s="83">
        <f>IFERROR(VLOOKUP($F36,GDHI!$B$338:$U$574,GDHI!G$578,FALSE),VLOOKUP($F36,GDHI!$C$3:$U$336,GDHI!F$578,FALSE))</f>
        <v>13986</v>
      </c>
      <c r="J36" s="84">
        <f>IFERROR(VLOOKUP($F36,GDHI!$B$338:$U$574,GDHI!H$578,FALSE),VLOOKUP($F36,GDHI!$C$3:$U$336,GDHI!G$578,FALSE))</f>
        <v>14576</v>
      </c>
      <c r="K36" s="84">
        <f>IFERROR(VLOOKUP($F36,GDHI!$B$338:$U$574,GDHI!I$578,FALSE),VLOOKUP($F36,GDHI!$C$3:$U$336,GDHI!H$578,FALSE))</f>
        <v>14747</v>
      </c>
      <c r="L36" s="84">
        <f>IFERROR(VLOOKUP($F36,GDHI!$B$338:$U$574,GDHI!J$578,FALSE),VLOOKUP($F36,GDHI!$C$3:$U$336,GDHI!I$578,FALSE))</f>
        <v>15590</v>
      </c>
      <c r="M36" s="84">
        <f>IFERROR(VLOOKUP($F36,GDHI!$B$338:$U$574,GDHI!K$578,FALSE),VLOOKUP($F36,GDHI!$C$3:$U$336,GDHI!J$578,FALSE))</f>
        <v>16161</v>
      </c>
      <c r="N36" s="84">
        <f>IFERROR(VLOOKUP($F36,GDHI!$B$338:$U$574,GDHI!L$578,FALSE),VLOOKUP($F36,GDHI!$C$3:$U$336,GDHI!K$578,FALSE))</f>
        <v>16134</v>
      </c>
      <c r="O36" s="84">
        <f>IFERROR(VLOOKUP($F36,GDHI!$B$338:$U$574,GDHI!M$578,FALSE),VLOOKUP($F36,GDHI!$C$3:$U$336,GDHI!L$578,FALSE))</f>
        <v>16489</v>
      </c>
      <c r="P36" s="84">
        <f>IFERROR(VLOOKUP($F36,GDHI!$B$338:$U$574,GDHI!N$578,FALSE),VLOOKUP($F36,GDHI!$C$3:$U$336,GDHI!M$578,FALSE))</f>
        <v>16834</v>
      </c>
      <c r="Q36" s="84">
        <f>IFERROR(VLOOKUP($F36,GDHI!$B$338:$U$574,GDHI!O$578,FALSE),VLOOKUP($F36,GDHI!$C$3:$U$336,GDHI!N$578,FALSE))</f>
        <v>17414</v>
      </c>
      <c r="R36" s="84">
        <f>IFERROR(VLOOKUP($F36,GDHI!$B$338:$U$574,GDHI!P$578,FALSE),VLOOKUP($F36,GDHI!$C$3:$U$336,GDHI!O$578,FALSE))</f>
        <v>17506</v>
      </c>
      <c r="S36" s="84">
        <f>IFERROR(VLOOKUP($F36,GDHI!$B$338:$U$574,GDHI!Q$578,FALSE),VLOOKUP($F36,GDHI!$C$3:$U$336,GDHI!P$578,FALSE))</f>
        <v>17946</v>
      </c>
      <c r="T36" s="84">
        <f>IFERROR(VLOOKUP($F36,GDHI!$B$338:$U$574,GDHI!R$578,FALSE),VLOOKUP($F36,GDHI!$C$3:$U$336,GDHI!Q$578,FALSE))</f>
        <v>18921</v>
      </c>
      <c r="U36" s="84">
        <f>IFERROR(VLOOKUP($F36,GDHI!$B$338:$U$574,GDHI!S$578,FALSE),VLOOKUP($F36,GDHI!$C$3:$U$336,GDHI!R$578,FALSE))</f>
        <v>19401</v>
      </c>
      <c r="V36" s="84">
        <f>IFERROR(VLOOKUP($F36,GDHI!$B$338:$U$574,GDHI!T$578,FALSE),VLOOKUP($F36,GDHI!$C$3:$U$336,GDHI!S$578,FALSE))</f>
        <v>19751</v>
      </c>
      <c r="W36" s="84">
        <f>IFERROR(VLOOKUP($F36,GDHI!$B$338:$U$574,GDHI!U$578,FALSE),VLOOKUP($F36,GDHI!$C$3:$U$336,GDHI!T$578,FALSE))</f>
        <v>20364</v>
      </c>
      <c r="X36" s="84">
        <f>IFERROR(VLOOKUP($F36,GDHI!$B$338:$U$574,GDHI!V$578,FALSE),VLOOKUP($F36,GDHI!$C$3:$U$336,GDHI!U$578,FALSE))</f>
        <v>20564</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South Norfolk to Rural as a Region</v>
      </c>
      <c r="G39" s="102"/>
      <c r="H39" s="103"/>
      <c r="I39" s="74">
        <f>100*((I36-I37)/I37)</f>
        <v>-4.9185900268533942</v>
      </c>
      <c r="J39" s="74">
        <f t="shared" ref="J39:X39" si="6">100*((J36-J37)/J37)</f>
        <v>-4.9893650950080017</v>
      </c>
      <c r="K39" s="74">
        <f t="shared" si="6"/>
        <v>-7.3923974549034783</v>
      </c>
      <c r="L39" s="74">
        <f t="shared" si="6"/>
        <v>-5.9039596127688894</v>
      </c>
      <c r="M39" s="74">
        <f t="shared" si="6"/>
        <v>-5.2883404508264968</v>
      </c>
      <c r="N39" s="74">
        <f t="shared" si="6"/>
        <v>-6.7016842155988785</v>
      </c>
      <c r="O39" s="74">
        <f t="shared" si="6"/>
        <v>-5.8197482091434889</v>
      </c>
      <c r="P39" s="74">
        <f t="shared" si="6"/>
        <v>-5.4272192958285252</v>
      </c>
      <c r="Q39" s="74">
        <f t="shared" si="6"/>
        <v>-5.1853349874965406</v>
      </c>
      <c r="R39" s="74">
        <f t="shared" si="6"/>
        <v>-7.2477736057085558</v>
      </c>
      <c r="S39" s="74">
        <f t="shared" si="6"/>
        <v>-7.475938566238681</v>
      </c>
      <c r="T39" s="74">
        <f t="shared" si="6"/>
        <v>-7.5145679202002604</v>
      </c>
      <c r="U39" s="74">
        <f t="shared" si="6"/>
        <v>-5.9341110954624963</v>
      </c>
      <c r="V39" s="74">
        <f t="shared" si="6"/>
        <v>-5.7927966652679217</v>
      </c>
      <c r="W39" s="74">
        <f t="shared" si="6"/>
        <v>-6.766271437899456</v>
      </c>
      <c r="X39" s="74">
        <f t="shared" si="6"/>
        <v>-7.6403366143195361</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South Norfolk</v>
      </c>
      <c r="G44" s="88"/>
      <c r="H44" s="89"/>
      <c r="I44" s="76">
        <f>VLOOKUP($F44,'LOW PAID'!$A$9:$N$444,6,FALSE)</f>
        <v>20.2</v>
      </c>
      <c r="J44" s="77">
        <f>VLOOKUP($F44,'LOW PAID'!$P$9:$W$444,6,FALSE)</f>
        <v>22</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South Norfolk to Rural as a Region</v>
      </c>
      <c r="G47" s="102"/>
      <c r="H47" s="103"/>
      <c r="I47" s="74">
        <f>(I44-I45)</f>
        <v>-4.9938746782131176</v>
      </c>
      <c r="J47" s="74">
        <f>(J44-J45)</f>
        <v>-3.6861165090300538</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South Norfolk</v>
      </c>
      <c r="G52" s="88"/>
      <c r="H52" s="89"/>
      <c r="I52" s="76">
        <f>VLOOKUP($F52,INACTIVITY!$A$6:$BW$345,6,FALSE)</f>
        <v>22.6</v>
      </c>
      <c r="J52" s="77">
        <f>VLOOKUP($F52,INACTIVITY!$A$6:$BW$345,10,FALSE)</f>
        <v>19.899999999999999</v>
      </c>
      <c r="K52" s="77">
        <f>VLOOKUP($F52,INACTIVITY!$A$6:$BW$345,14,FALSE)</f>
        <v>17.2</v>
      </c>
      <c r="L52" s="77">
        <f>VLOOKUP($F52,INACTIVITY!$A$6:$BW$345,18,FALSE)</f>
        <v>17.600000000000001</v>
      </c>
      <c r="M52" s="77">
        <f>VLOOKUP($F52,INACTIVITY!$A$6:$BW$345,22,FALSE)</f>
        <v>22.9</v>
      </c>
      <c r="N52" s="77">
        <f>VLOOKUP($F52,INACTIVITY!$A$6:$BW$345,26,FALSE)</f>
        <v>18.7</v>
      </c>
      <c r="O52" s="77">
        <f>VLOOKUP($F52,INACTIVITY!$A$6:$BW$345,30,FALSE)</f>
        <v>20.6</v>
      </c>
      <c r="P52" s="77">
        <f>VLOOKUP($F52,INACTIVITY!$A$6:$BW$345,34,FALSE)</f>
        <v>17.8</v>
      </c>
      <c r="Q52" s="77">
        <f>VLOOKUP($F52,INACTIVITY!$A$6:$BW$345,38,FALSE)</f>
        <v>10.6</v>
      </c>
      <c r="R52" s="77">
        <f>VLOOKUP($F52,INACTIVITY!$A$6:$BW$345,42,FALSE)</f>
        <v>15.6</v>
      </c>
      <c r="S52" s="77">
        <f>VLOOKUP($F52,INACTIVITY!$A$6:$BW$345,46,FALSE)</f>
        <v>23.5</v>
      </c>
      <c r="T52" s="77">
        <f>VLOOKUP($F52,INACTIVITY!$A$6:$BW$345,50,FALSE)</f>
        <v>18</v>
      </c>
      <c r="U52" s="77">
        <f>VLOOKUP($F52,INACTIVITY!$A$6:$BW$345,54,FALSE)</f>
        <v>11.8</v>
      </c>
      <c r="V52" s="77">
        <f>VLOOKUP($F52,INACTIVITY!$A$6:$BW$345,58,FALSE)</f>
        <v>23.7</v>
      </c>
      <c r="W52" s="77">
        <f>VLOOKUP($F52,INACTIVITY!$A$6:$BW$345,62,FALSE)</f>
        <v>18.7</v>
      </c>
      <c r="X52" s="77">
        <f>VLOOKUP($F52,INACTIVITY!$A$6:$BW$345,66,FALSE)</f>
        <v>14.6</v>
      </c>
      <c r="Y52" s="77">
        <f>VLOOKUP($F52,INACTIVITY!$A$6:$BW$345,70,FALSE)</f>
        <v>22.6</v>
      </c>
      <c r="Z52" s="77">
        <f>VLOOKUP($F52,INACTIVITY!$A$6:$BW$345,74,FALSE)</f>
        <v>19.5</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South Norfolk to Rural as a Region</v>
      </c>
      <c r="G55" s="102"/>
      <c r="H55" s="103"/>
      <c r="I55" s="74">
        <f>(I52-I53)</f>
        <v>1.2043554283897642</v>
      </c>
      <c r="J55" s="74">
        <f t="shared" ref="J55:Z55" si="10">(J52-J53)</f>
        <v>-1.108522727272728</v>
      </c>
      <c r="K55" s="74">
        <f t="shared" si="10"/>
        <v>-3.6624653934587776</v>
      </c>
      <c r="L55" s="74">
        <f t="shared" si="10"/>
        <v>-3.7140653315366379</v>
      </c>
      <c r="M55" s="74">
        <f t="shared" si="10"/>
        <v>2.0649976891079938</v>
      </c>
      <c r="N55" s="74">
        <f t="shared" si="10"/>
        <v>-2.2331437579204412</v>
      </c>
      <c r="O55" s="74">
        <f t="shared" si="10"/>
        <v>-1.0919371275051724</v>
      </c>
      <c r="P55" s="74">
        <f t="shared" si="10"/>
        <v>-3.6942457807534481</v>
      </c>
      <c r="Q55" s="74">
        <f t="shared" si="10"/>
        <v>-10.582548794489094</v>
      </c>
      <c r="R55" s="74">
        <f t="shared" si="10"/>
        <v>-5.1745930974387715</v>
      </c>
      <c r="S55" s="74">
        <f t="shared" si="10"/>
        <v>3.2267895440276</v>
      </c>
      <c r="T55" s="74">
        <f t="shared" si="10"/>
        <v>-1.6961946834069579</v>
      </c>
      <c r="U55" s="74">
        <f t="shared" si="10"/>
        <v>-8.0524293470694701</v>
      </c>
      <c r="V55" s="74">
        <f t="shared" si="10"/>
        <v>4.4467226657196228</v>
      </c>
      <c r="W55" s="74">
        <f t="shared" si="10"/>
        <v>-0.47695600918284953</v>
      </c>
      <c r="X55" s="74">
        <f t="shared" si="10"/>
        <v>-4.2520649493649305</v>
      </c>
      <c r="Y55" s="74">
        <f t="shared" si="10"/>
        <v>2.8274172781285394</v>
      </c>
      <c r="Z55" s="74">
        <f t="shared" si="10"/>
        <v>-1.5851797756300705</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South Norfolk</v>
      </c>
      <c r="G60" s="88"/>
      <c r="H60" s="89"/>
      <c r="I60" s="76">
        <f>VLOOKUP($F60,DISABILITY!$A$718:$I$1052,DISABILITY!B$1053,FALSE)</f>
        <v>7.8000000000000114</v>
      </c>
      <c r="J60" s="77">
        <f>VLOOKUP($F60,DISABILITY!$A$718:$I$1052,DISABILITY!C$1053,FALSE)</f>
        <v>27.799999999999997</v>
      </c>
      <c r="K60" s="77">
        <f>VLOOKUP($F60,DISABILITY!$A$718:$I$1052,DISABILITY!D$1053,FALSE)</f>
        <v>11.399999999999991</v>
      </c>
      <c r="L60" s="77">
        <f>VLOOKUP($F60,DISABILITY!$A$718:$I$1052,DISABILITY!E$1053,FALSE)</f>
        <v>24.1</v>
      </c>
      <c r="M60" s="77">
        <f>VLOOKUP($F60,DISABILITY!$A$718:$I$1052,DISABILITY!F$1053,FALSE)</f>
        <v>33.699999999999996</v>
      </c>
      <c r="N60" s="77">
        <f>VLOOKUP($F60,DISABILITY!$A$718:$I$1052,DISABILITY!G$1053,FALSE)</f>
        <v>18.299999999999997</v>
      </c>
      <c r="O60" s="77">
        <f>VLOOKUP($F60,DISABILITY!$A$718:$I$1052,DISABILITY!H$1053,FALSE)</f>
        <v>3.4000000000000057</v>
      </c>
      <c r="P60" s="77">
        <f>VLOOKUP($F60,DISABILITY!$A$718:$I$1052,DISABILITY!I$1053,FALSE)</f>
        <v>28.9</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South Norfolk to Rural as a Region</v>
      </c>
      <c r="G63" s="102"/>
      <c r="H63" s="103"/>
      <c r="I63" s="74">
        <f>(I60-I61)</f>
        <v>-19.620156540647237</v>
      </c>
      <c r="J63" s="74">
        <f t="shared" ref="J63:P63" si="12">(J60-J61)</f>
        <v>0.48095559294880985</v>
      </c>
      <c r="K63" s="74">
        <f t="shared" si="12"/>
        <v>-16.719128361498214</v>
      </c>
      <c r="L63" s="74">
        <f t="shared" si="12"/>
        <v>-1.8909345389966745</v>
      </c>
      <c r="M63" s="74">
        <f t="shared" si="12"/>
        <v>8.2247741813338777</v>
      </c>
      <c r="N63" s="74">
        <f t="shared" si="12"/>
        <v>-7.2312476854419856</v>
      </c>
      <c r="O63" s="74">
        <f t="shared" si="12"/>
        <v>-20.397222287996939</v>
      </c>
      <c r="P63" s="74">
        <f t="shared" si="12"/>
        <v>3.5458220696578238</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South Norfolk</v>
      </c>
      <c r="G68" s="88"/>
      <c r="H68" s="89"/>
      <c r="I68" s="76">
        <f>VLOOKUP($F68,'WORKLESS HOUSEHOLDS'!$DW$4:$EC$397,7,FALSE)</f>
        <v>4.4467404778633535</v>
      </c>
      <c r="J68" s="77" t="str">
        <f>VLOOKUP($F68,'WORKLESS HOUSEHOLDS'!$DN$4:$DT$397,7,FALSE)</f>
        <v>*</v>
      </c>
      <c r="K68" s="77">
        <f>VLOOKUP($F68,'WORKLESS HOUSEHOLDS'!$DE$4:$DK$397,7,FALSE)</f>
        <v>5.1759387704686226</v>
      </c>
      <c r="L68" s="77">
        <f>VLOOKUP($F68,'WORKLESS HOUSEHOLDS'!$CV$4:$DB$397,7,FALSE)</f>
        <v>5.3220587365230489</v>
      </c>
      <c r="M68" s="77">
        <f>VLOOKUP($F68,'WORKLESS HOUSEHOLDS'!$CM$4:$CS$397,7,FALSE)</f>
        <v>2.8620674461097688</v>
      </c>
      <c r="N68" s="77" t="str">
        <f>VLOOKUP($F68,'WORKLESS HOUSEHOLDS'!$CD$4:$CJ$397,7,FALSE)</f>
        <v>*</v>
      </c>
      <c r="O68" s="77" t="str">
        <f>VLOOKUP($F68,'WORKLESS HOUSEHOLDS'!$BU$4:$CA$397,7,FALSE)</f>
        <v>#</v>
      </c>
      <c r="P68" s="77" t="str">
        <f>VLOOKUP($F68,'WORKLESS HOUSEHOLDS'!$BL$4:$BR$397,7,FALSE)</f>
        <v>#</v>
      </c>
      <c r="Q68" s="77">
        <f>VLOOKUP($F68,'WORKLESS HOUSEHOLDS'!$BC$4:$BI$397,7,FALSE)</f>
        <v>5.6281608332081516</v>
      </c>
      <c r="R68" s="77">
        <f>VLOOKUP($F68,'WORKLESS HOUSEHOLDS'!$AT$4:$AZ$397,7,FALSE)</f>
        <v>5.2936348714207551</v>
      </c>
      <c r="S68" s="77" t="str">
        <f>VLOOKUP($F68,'WORKLESS HOUSEHOLDS'!$AK$4:$AQ$397,7,FALSE)</f>
        <v>#</v>
      </c>
      <c r="T68" s="77" t="str">
        <f>VLOOKUP($F68,'WORKLESS HOUSEHOLDS'!$AB$4:$AH$397,7,FALSE)</f>
        <v>#</v>
      </c>
      <c r="U68" s="77">
        <f>VLOOKUP($F68,'WORKLESS HOUSEHOLDS'!$S$4:$Y$397,7,FALSE)</f>
        <v>9.7192421821501931</v>
      </c>
      <c r="V68" s="77" t="str">
        <f>VLOOKUP($F68,'WORKLESS HOUSEHOLDS'!$J$4:$P$397,7,FALSE)</f>
        <v>#</v>
      </c>
      <c r="W68" s="77" t="str">
        <f>VLOOKUP($F68,'WORKLESS HOUSEHOLDS'!$B$4:$H$397,7,FALSE)</f>
        <v>n/a</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South Norfolk to Rural as a Region</v>
      </c>
      <c r="G71" s="102"/>
      <c r="H71" s="103"/>
      <c r="I71" s="74">
        <f>(I68-I69)</f>
        <v>-5.5652053847233374</v>
      </c>
      <c r="J71" s="74" t="e">
        <f t="shared" ref="J71:W71" si="14">(J68-J69)</f>
        <v>#VALUE!</v>
      </c>
      <c r="K71" s="74">
        <f t="shared" si="14"/>
        <v>-5.1173069586872213</v>
      </c>
      <c r="L71" s="74">
        <f t="shared" si="14"/>
        <v>-5.6439479248066835</v>
      </c>
      <c r="M71" s="74">
        <f t="shared" si="14"/>
        <v>-8.831711735078704</v>
      </c>
      <c r="N71" s="74" t="e">
        <f t="shared" si="14"/>
        <v>#VALUE!</v>
      </c>
      <c r="O71" s="74" t="e">
        <f t="shared" si="14"/>
        <v>#VALUE!</v>
      </c>
      <c r="P71" s="74" t="e">
        <f t="shared" si="14"/>
        <v>#VALUE!</v>
      </c>
      <c r="Q71" s="74">
        <f t="shared" si="14"/>
        <v>-5.1770174271902603</v>
      </c>
      <c r="R71" s="74">
        <f t="shared" si="14"/>
        <v>-5.4124614523087988</v>
      </c>
      <c r="S71" s="74" t="e">
        <f t="shared" si="14"/>
        <v>#VALUE!</v>
      </c>
      <c r="T71" s="74" t="e">
        <f t="shared" si="14"/>
        <v>#VALUE!</v>
      </c>
      <c r="U71" s="74">
        <f t="shared" si="14"/>
        <v>-1.0428079825292826</v>
      </c>
      <c r="V71" s="74" t="e">
        <f t="shared" si="14"/>
        <v>#VALUE!</v>
      </c>
      <c r="W71" s="74" t="e">
        <f t="shared" si="14"/>
        <v>#VALUE!</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South Norfolk</v>
      </c>
      <c r="G76" s="88"/>
      <c r="H76" s="89"/>
      <c r="I76" s="76">
        <f>VLOOKUP($F76,'SKILLED EMPLOYMENT'!$A$1506:$BW$1841,6,FALSE)</f>
        <v>53.7</v>
      </c>
      <c r="J76" s="77">
        <f>VLOOKUP($F76,'SKILLED EMPLOYMENT'!$A$1506:$BW$1841,10,FALSE)</f>
        <v>58.3</v>
      </c>
      <c r="K76" s="77">
        <f>VLOOKUP($F76,'SKILLED EMPLOYMENT'!$A$1506:$BW$1841,14,FALSE)</f>
        <v>57.6</v>
      </c>
      <c r="L76" s="77">
        <f>VLOOKUP($F76,'SKILLED EMPLOYMENT'!$A$1506:$BW$1841,18,FALSE)</f>
        <v>51.699999999999996</v>
      </c>
      <c r="M76" s="77">
        <f>VLOOKUP($F76,'SKILLED EMPLOYMENT'!$A$1506:$BW$1841,22,FALSE)</f>
        <v>54.699999999999996</v>
      </c>
      <c r="N76" s="77">
        <f>VLOOKUP($F76,'SKILLED EMPLOYMENT'!$A$1506:$BW$1841,26,FALSE)</f>
        <v>60.699999999999996</v>
      </c>
      <c r="O76" s="77">
        <f>VLOOKUP($F76,'SKILLED EMPLOYMENT'!$A$1506:$BW$1841,30,FALSE)</f>
        <v>51.599999999999994</v>
      </c>
      <c r="P76" s="77">
        <f>VLOOKUP($F76,'SKILLED EMPLOYMENT'!$A$1506:$BW$1841,34,FALSE)</f>
        <v>54</v>
      </c>
      <c r="Q76" s="77">
        <f>VLOOKUP($F76,'SKILLED EMPLOYMENT'!$A$1506:$BW$1841,38,FALSE)</f>
        <v>60.900000000000006</v>
      </c>
      <c r="R76" s="77">
        <f>VLOOKUP($F76,'SKILLED EMPLOYMENT'!$A$1506:$BW$1841,42,FALSE)</f>
        <v>53.400000000000006</v>
      </c>
      <c r="S76" s="77">
        <f>VLOOKUP($F76,'SKILLED EMPLOYMENT'!$A$1506:$BW$1841,46,FALSE)</f>
        <v>59</v>
      </c>
      <c r="T76" s="77">
        <f>VLOOKUP($F76,'SKILLED EMPLOYMENT'!$A$1506:$BW$1841,50,FALSE)</f>
        <v>61.7</v>
      </c>
      <c r="U76" s="77">
        <f>VLOOKUP($F76,'SKILLED EMPLOYMENT'!$A$1506:$BW$1841,54,FALSE)</f>
        <v>55.5</v>
      </c>
      <c r="V76" s="77">
        <f>VLOOKUP($F76,'SKILLED EMPLOYMENT'!$A$1506:$BW$1841,58,FALSE)</f>
        <v>66.2</v>
      </c>
      <c r="W76" s="77">
        <f>VLOOKUP($F76,'SKILLED EMPLOYMENT'!$A$1506:$BW$1841,62,FALSE)</f>
        <v>60.600000000000009</v>
      </c>
      <c r="X76" s="77">
        <f>VLOOKUP($F76,'SKILLED EMPLOYMENT'!$A$1506:$BW$1841,66,FALSE)</f>
        <v>56.5</v>
      </c>
      <c r="Y76" s="77">
        <f>VLOOKUP($F76,'SKILLED EMPLOYMENT'!$A$1506:$BW$1841,70,FALSE)</f>
        <v>61.7</v>
      </c>
      <c r="Z76" s="77">
        <f>VLOOKUP($F76,'SKILLED EMPLOYMENT'!$A$1506:$BW$1841,74,FALSE)</f>
        <v>61</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South Norfolk to Rural as a Region</v>
      </c>
      <c r="G79" s="102"/>
      <c r="H79" s="103"/>
      <c r="I79" s="74">
        <f>(I76-I77)</f>
        <v>1</v>
      </c>
      <c r="J79" s="74">
        <f t="shared" ref="J79:Z79" si="17">(J76-J77)</f>
        <v>5.3999999999999986</v>
      </c>
      <c r="K79" s="74">
        <f t="shared" si="17"/>
        <v>4.1000000000000014</v>
      </c>
      <c r="L79" s="74">
        <f t="shared" si="17"/>
        <v>-2.3000000000000043</v>
      </c>
      <c r="M79" s="74">
        <f t="shared" si="17"/>
        <v>0.59999999999999432</v>
      </c>
      <c r="N79" s="74">
        <f t="shared" si="17"/>
        <v>6.2999999999999972</v>
      </c>
      <c r="O79" s="74">
        <f t="shared" si="17"/>
        <v>-3.8000000000000043</v>
      </c>
      <c r="P79" s="74">
        <f t="shared" si="17"/>
        <v>-1.6000000000000014</v>
      </c>
      <c r="Q79" s="74">
        <f t="shared" si="17"/>
        <v>5.5000000000000071</v>
      </c>
      <c r="R79" s="74">
        <f t="shared" si="17"/>
        <v>-2.7999999999999972</v>
      </c>
      <c r="S79" s="74">
        <f t="shared" si="17"/>
        <v>2.7999999999999972</v>
      </c>
      <c r="T79" s="74">
        <f t="shared" si="17"/>
        <v>4.9000000000000057</v>
      </c>
      <c r="U79" s="74">
        <f t="shared" si="17"/>
        <v>-1.1000000000000014</v>
      </c>
      <c r="V79" s="74">
        <f t="shared" si="17"/>
        <v>9.1000000000000014</v>
      </c>
      <c r="W79" s="74">
        <f t="shared" si="17"/>
        <v>2.8000000000000114</v>
      </c>
      <c r="X79" s="74">
        <f t="shared" si="17"/>
        <v>-2.2999999999999972</v>
      </c>
      <c r="Y79" s="74">
        <f t="shared" si="17"/>
        <v>3</v>
      </c>
      <c r="Z79" s="74">
        <f t="shared" si="17"/>
        <v>2.6000000000000014</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alKGSCmrr+pvrdnR+bZzwbUXjtWaLP12khHOfVwkA+SX2Mjt4SjeMENfa5Rpc5kZPIOxtEuJrKb9Bbbt+3X3QQ==" saltValue="7k9rC2rqzD1MZM+eHuqJvg=="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2022-08-02T13:21:47Z</dcterms:modified>
</cp:coreProperties>
</file>