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0FEE7050-0573-4C24-8835-A27B7E889CE7}" xr6:coauthVersionLast="47" xr6:coauthVersionMax="47" xr10:uidLastSave="{7C8611B3-32CB-47E0-95B2-8293750C2AF6}"/>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<sst xmlns="http://schemas.openxmlformats.org/spreadsheetml/2006/main" count="32859" uniqueCount="1676">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</sst>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South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26.89</c:v>
                </c:pt>
                <c:pt idx="1">
                  <c:v>26.78</c:v>
                </c:pt>
                <c:pt idx="2">
                  <c:v>28.2</c:v>
                </c:pt>
                <c:pt idx="3">
                  <c:v>28.69</c:v>
                </c:pt>
                <c:pt idx="4">
                  <c:v>29.13</c:v>
                </c:pt>
                <c:pt idx="5">
                  <c:v>29.52</c:v>
                </c:pt>
                <c:pt idx="6">
                  <c:v>30.3</c:v>
                </c:pt>
                <c:pt idx="7">
                  <c:v>30.81</c:v>
                </c:pt>
                <c:pt idx="8">
                  <c:v>31.04</c:v>
                </c:pt>
                <c:pt idx="9">
                  <c:v>31.64</c:v>
                </c:pt>
                <c:pt idx="10">
                  <c:v>32.18</c:v>
                </c:pt>
                <c:pt idx="11">
                  <c:v>32.979999999999997</c:v>
                </c:pt>
                <c:pt idx="12">
                  <c:v>33.200000000000003</c:v>
                </c:pt>
                <c:pt idx="13">
                  <c:v>34.299999999999997</c:v>
                </c:pt>
                <c:pt idx="14">
                  <c:v>35.5</c:v>
                </c:pt>
                <c:pt idx="15">
                  <c:v>36.65</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South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452.5</c:v>
                </c:pt>
                <c:pt idx="1">
                  <c:v>464</c:v>
                </c:pt>
                <c:pt idx="2">
                  <c:v>479.1</c:v>
                </c:pt>
                <c:pt idx="3">
                  <c:v>488.7</c:v>
                </c:pt>
                <c:pt idx="4">
                  <c:v>520.5</c:v>
                </c:pt>
                <c:pt idx="5">
                  <c:v>498.6</c:v>
                </c:pt>
                <c:pt idx="6">
                  <c:v>551.9</c:v>
                </c:pt>
                <c:pt idx="7">
                  <c:v>583.1</c:v>
                </c:pt>
                <c:pt idx="8">
                  <c:v>580.20000000000005</c:v>
                </c:pt>
                <c:pt idx="9">
                  <c:v>564.79999999999995</c:v>
                </c:pt>
                <c:pt idx="10">
                  <c:v>568.5</c:v>
                </c:pt>
                <c:pt idx="11">
                  <c:v>596.29999999999995</c:v>
                </c:pt>
                <c:pt idx="12">
                  <c:v>632.20000000000005</c:v>
                </c:pt>
                <c:pt idx="13">
                  <c:v>650.79999999999995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South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77.8</c:v>
                </c:pt>
                <c:pt idx="1">
                  <c:v>80.599999999999994</c:v>
                </c:pt>
                <c:pt idx="2">
                  <c:v>79.8</c:v>
                </c:pt>
                <c:pt idx="3">
                  <c:v>77.099999999999994</c:v>
                </c:pt>
                <c:pt idx="4">
                  <c:v>77.400000000000006</c:v>
                </c:pt>
                <c:pt idx="5">
                  <c:v>82.3</c:v>
                </c:pt>
                <c:pt idx="6">
                  <c:v>77.5</c:v>
                </c:pt>
                <c:pt idx="7">
                  <c:v>79.2</c:v>
                </c:pt>
                <c:pt idx="8">
                  <c:v>78.8</c:v>
                </c:pt>
                <c:pt idx="9">
                  <c:v>79.2</c:v>
                </c:pt>
                <c:pt idx="10">
                  <c:v>80.400000000000006</c:v>
                </c:pt>
                <c:pt idx="11">
                  <c:v>86.3</c:v>
                </c:pt>
                <c:pt idx="12">
                  <c:v>80.7</c:v>
                </c:pt>
                <c:pt idx="13">
                  <c:v>76.900000000000006</c:v>
                </c:pt>
                <c:pt idx="14">
                  <c:v>81.3</c:v>
                </c:pt>
                <c:pt idx="15">
                  <c:v>83.5</c:v>
                </c:pt>
                <c:pt idx="16">
                  <c:v>85.1</c:v>
                </c:pt>
                <c:pt idx="17">
                  <c:v>80.099999999999994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South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19749</c:v>
                </c:pt>
                <c:pt idx="1">
                  <c:v>20563</c:v>
                </c:pt>
                <c:pt idx="2">
                  <c:v>21742</c:v>
                </c:pt>
                <c:pt idx="3">
                  <c:v>22665</c:v>
                </c:pt>
                <c:pt idx="4">
                  <c:v>22969</c:v>
                </c:pt>
                <c:pt idx="5">
                  <c:v>23046</c:v>
                </c:pt>
                <c:pt idx="6">
                  <c:v>22993</c:v>
                </c:pt>
                <c:pt idx="7">
                  <c:v>23237</c:v>
                </c:pt>
                <c:pt idx="8">
                  <c:v>24251</c:v>
                </c:pt>
                <c:pt idx="9">
                  <c:v>25154</c:v>
                </c:pt>
                <c:pt idx="10">
                  <c:v>26045</c:v>
                </c:pt>
                <c:pt idx="11">
                  <c:v>28221</c:v>
                </c:pt>
                <c:pt idx="12">
                  <c:v>28246</c:v>
                </c:pt>
                <c:pt idx="13">
                  <c:v>28713</c:v>
                </c:pt>
                <c:pt idx="14">
                  <c:v>29565</c:v>
                </c:pt>
                <c:pt idx="15">
                  <c:v>29669</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South Oxfordshire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17</c:v>
                </c:pt>
                <c:pt idx="1">
                  <c:v>15.5</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South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19.399999999999999</c:v>
                </c:pt>
                <c:pt idx="1">
                  <c:v>18</c:v>
                </c:pt>
                <c:pt idx="2">
                  <c:v>18.399999999999999</c:v>
                </c:pt>
                <c:pt idx="3">
                  <c:v>20</c:v>
                </c:pt>
                <c:pt idx="4">
                  <c:v>18.600000000000001</c:v>
                </c:pt>
                <c:pt idx="5">
                  <c:v>13.4</c:v>
                </c:pt>
                <c:pt idx="6">
                  <c:v>20.399999999999999</c:v>
                </c:pt>
                <c:pt idx="7">
                  <c:v>18.3</c:v>
                </c:pt>
                <c:pt idx="8">
                  <c:v>16.399999999999999</c:v>
                </c:pt>
                <c:pt idx="9">
                  <c:v>19.3</c:v>
                </c:pt>
                <c:pt idx="10">
                  <c:v>16.8</c:v>
                </c:pt>
                <c:pt idx="11">
                  <c:v>10.6</c:v>
                </c:pt>
                <c:pt idx="12">
                  <c:v>16.8</c:v>
                </c:pt>
                <c:pt idx="13">
                  <c:v>20</c:v>
                </c:pt>
                <c:pt idx="14">
                  <c:v>16.600000000000001</c:v>
                </c:pt>
                <c:pt idx="15">
                  <c:v>15.7</c:v>
                </c:pt>
                <c:pt idx="16">
                  <c:v>12.2</c:v>
                </c:pt>
                <c:pt idx="17">
                  <c:v>19.3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South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30.800000000000004</c:v>
                </c:pt>
                <c:pt idx="1">
                  <c:v>18.5</c:v>
                </c:pt>
                <c:pt idx="2">
                  <c:v>31.200000000000003</c:v>
                </c:pt>
                <c:pt idx="3">
                  <c:v>28.6</c:v>
                </c:pt>
                <c:pt idx="4">
                  <c:v>23.800000000000004</c:v>
                </c:pt>
                <c:pt idx="5">
                  <c:v>5.5999999999999943</c:v>
                </c:pt>
                <c:pt idx="6">
                  <c:v>13.700000000000003</c:v>
                </c:pt>
                <c:pt idx="7">
                  <c:v>35.100000000000009</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South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5.275369827462888</c:v>
                </c:pt>
                <c:pt idx="1">
                  <c:v>9.7201758757697831</c:v>
                </c:pt>
                <c:pt idx="2">
                  <c:v>10.654397685009021</c:v>
                </c:pt>
                <c:pt idx="3">
                  <c:v>0</c:v>
                </c:pt>
                <c:pt idx="4">
                  <c:v>14.398341871158294</c:v>
                </c:pt>
                <c:pt idx="5">
                  <c:v>3.6811184650851496</c:v>
                </c:pt>
                <c:pt idx="6">
                  <c:v>4.9518669778296376</c:v>
                </c:pt>
                <c:pt idx="7">
                  <c:v>12.955079271873165</c:v>
                </c:pt>
                <c:pt idx="8">
                  <c:v>8.5356936694246688</c:v>
                </c:pt>
                <c:pt idx="9">
                  <c:v>3.7607647941850364</c:v>
                </c:pt>
                <c:pt idx="10">
                  <c:v>11.371717969900507</c:v>
                </c:pt>
                <c:pt idx="11">
                  <c:v>7.742297817715019</c:v>
                </c:pt>
                <c:pt idx="12">
                  <c:v>0</c:v>
                </c:pt>
                <c:pt idx="13">
                  <c:v>0</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South Oxfordshire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60.5</c:v>
                </c:pt>
                <c:pt idx="1">
                  <c:v>58</c:v>
                </c:pt>
                <c:pt idx="2">
                  <c:v>57.3</c:v>
                </c:pt>
                <c:pt idx="3">
                  <c:v>61.699999999999996</c:v>
                </c:pt>
                <c:pt idx="4">
                  <c:v>62.8</c:v>
                </c:pt>
                <c:pt idx="5">
                  <c:v>61.7</c:v>
                </c:pt>
                <c:pt idx="6">
                  <c:v>63.2</c:v>
                </c:pt>
                <c:pt idx="7">
                  <c:v>62.4</c:v>
                </c:pt>
                <c:pt idx="8">
                  <c:v>64.5</c:v>
                </c:pt>
                <c:pt idx="9">
                  <c:v>74</c:v>
                </c:pt>
                <c:pt idx="10">
                  <c:v>68.699999999999989</c:v>
                </c:pt>
                <c:pt idx="11">
                  <c:v>71.5</c:v>
                </c:pt>
                <c:pt idx="12">
                  <c:v>68.2</c:v>
                </c:pt>
                <c:pt idx="13">
                  <c:v>74.100000000000009</c:v>
                </c:pt>
                <c:pt idx="14">
                  <c:v>73.900000000000006</c:v>
                </c:pt>
                <c:pt idx="15">
                  <c:v>63.3</c:v>
                </c:pt>
                <c:pt idx="16">
                  <c:v>66.3</c:v>
                </c:pt>
                <c:pt idx="17">
                  <c:v>69</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South Oxfordshire has consistently been above that of England and 'Rural as a Region'.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GDHI in South Oxfordshire is consistently and by a significant margin greater than that in either England or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in South Oxfordshire was below both England and 'Rural as a Region' in both 2017 and 2018 and fell in that period.</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South Oxfordshire's economic inactivity rate has fluctuated in the period 2004 to 2021 but is consistently below both the England and rural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South Oxfordshire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South Oxfordshire for the years in which data is available shows no real pattern of change and some significant movements between years.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South Oxfordshire has consistently from 2004 to 2021 had a higher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632460</xdr:colOff>
      <xdr:row>12</xdr:row>
      <xdr:rowOff>495300</xdr:rowOff>
    </xdr:from>
    <xdr:to>
      <xdr:col>1</xdr:col>
      <xdr:colOff>2613660</xdr:colOff>
      <xdr:row>14</xdr:row>
      <xdr:rowOff>0</xdr:rowOff>
    </xdr:to>
    <xdr:sp macro="" textlink="">
      <xdr:nvSpPr>
        <xdr:cNvPr id="20" name="TextBox 19">
          <a:extLst>
            <a:ext uri="{FF2B5EF4-FFF2-40B4-BE49-F238E27FC236}">
              <a16:creationId xmlns:a16="http://schemas.microsoft.com/office/drawing/2014/main" id="{3EA8FC25-4790-4119-87B4-5F4CB510FFAF}"/>
            </a:ext>
          </a:extLst>
        </xdr:cNvPr>
        <xdr:cNvSpPr txBox="1"/>
      </xdr:nvSpPr>
      <xdr:spPr>
        <a:xfrm>
          <a:off x="63246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South Oxfordshire very closely follows the path of the England situation.</a:t>
          </a:r>
          <a:endParaRPr lang="en-GB" sz="1100">
            <a:latin typeface="Avenir Next LT Pro" panose="020B0504020202020204" pitchFamily="34" charset="0"/>
          </a:endParaRPr>
        </a:p>
      </xdr:txBody>
    </xdr:sp>
    <xdr:clientData/>
  </xdr:twoCellAnchor>
  <xdr:twoCellAnchor>
    <xdr:from>
      <xdr:col>0</xdr:col>
      <xdr:colOff>617220</xdr:colOff>
      <xdr:row>20</xdr:row>
      <xdr:rowOff>609600</xdr:rowOff>
    </xdr:from>
    <xdr:to>
      <xdr:col>1</xdr:col>
      <xdr:colOff>2598420</xdr:colOff>
      <xdr:row>22</xdr:row>
      <xdr:rowOff>137160</xdr:rowOff>
    </xdr:to>
    <xdr:sp macro="" textlink="">
      <xdr:nvSpPr>
        <xdr:cNvPr id="21" name="TextBox 20">
          <a:extLst>
            <a:ext uri="{FF2B5EF4-FFF2-40B4-BE49-F238E27FC236}">
              <a16:creationId xmlns:a16="http://schemas.microsoft.com/office/drawing/2014/main" id="{73D16A13-7079-46CB-94F7-8D1113C9951A}"/>
            </a:ext>
          </a:extLst>
        </xdr:cNvPr>
        <xdr:cNvSpPr txBox="1"/>
      </xdr:nvSpPr>
      <xdr:spPr>
        <a:xfrm>
          <a:off x="617220" y="753618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South Oxfordshire has from 2008 to 2021 climbed at a greater rate than that of England taking it from below in 2008 to above England in 2021.</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412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South Oxfordshire</v>
      </c>
      <c r="G12" s="88" t="str">
        <f>IFERROR(VLOOKUP(F12,GVA!B244:B552,1,FALSE),VLOOKUP(F12,GVA!B6:C230,2,FALSE))</f>
        <v>South Oxfordshire</v>
      </c>
      <c r="H12" s="89" t="str">
        <f>IF(F12=G12,"",G12)</f>
        <v/>
      </c>
      <c r="I12" s="76">
        <f>IFERROR(VLOOKUP($F12,GVA!$B$7:$S$230,GVA!D$3,FALSE),VLOOKUP($F12,GVA!$B$244:$T$554,GVA!E$3,FALSE))</f>
        <v>26.89</v>
      </c>
      <c r="J12" s="77">
        <f>IFERROR(VLOOKUP($F12,GVA!$B$7:$S$230,GVA!E$3,FALSE),VLOOKUP($F12,GVA!$B$244:$T$554,GVA!F$3,FALSE))</f>
        <v>26.78</v>
      </c>
      <c r="K12" s="77">
        <f>IFERROR(VLOOKUP($F12,GVA!$B$7:$S$230,GVA!F$3,FALSE),VLOOKUP($F12,GVA!$B$244:$T$554,GVA!G$3,FALSE))</f>
        <v>28.2</v>
      </c>
      <c r="L12" s="77">
        <f>IFERROR(VLOOKUP($F12,GVA!$B$7:$S$230,GVA!G$3,FALSE),VLOOKUP($F12,GVA!$B$244:$T$554,GVA!H$3,FALSE))</f>
        <v>28.69</v>
      </c>
      <c r="M12" s="77">
        <f>IFERROR(VLOOKUP($F12,GVA!$B$7:$S$230,GVA!H$3,FALSE),VLOOKUP($F12,GVA!$B$244:$T$554,GVA!I$3,FALSE))</f>
        <v>29.13</v>
      </c>
      <c r="N12" s="77">
        <f>IFERROR(VLOOKUP($F12,GVA!$B$7:$S$230,GVA!I$3,FALSE),VLOOKUP($F12,GVA!$B$244:$T$554,GVA!J$3,FALSE))</f>
        <v>29.52</v>
      </c>
      <c r="O12" s="77">
        <f>IFERROR(VLOOKUP($F12,GVA!$B$7:$S$230,GVA!J$3,FALSE),VLOOKUP($F12,GVA!$B$244:$T$554,GVA!K$3,FALSE))</f>
        <v>30.3</v>
      </c>
      <c r="P12" s="77">
        <f>IFERROR(VLOOKUP($F12,GVA!$B$7:$S$230,GVA!K$3,FALSE),VLOOKUP($F12,GVA!$B$244:$T$554,GVA!L$3,FALSE))</f>
        <v>30.81</v>
      </c>
      <c r="Q12" s="77">
        <f>IFERROR(VLOOKUP($F12,GVA!$B$7:$S$230,GVA!L$3,FALSE),VLOOKUP($F12,GVA!$B$244:$T$554,GVA!M$3,FALSE))</f>
        <v>31.04</v>
      </c>
      <c r="R12" s="77">
        <f>IFERROR(VLOOKUP($F12,GVA!$B$7:$S$230,GVA!M$3,FALSE),VLOOKUP($F12,GVA!$B$244:$T$554,GVA!N$3,FALSE))</f>
        <v>31.64</v>
      </c>
      <c r="S12" s="77">
        <f>IFERROR(VLOOKUP($F12,GVA!$B$7:$S$230,GVA!N$3,FALSE),VLOOKUP($F12,GVA!$B$244:$T$554,GVA!O$3,FALSE))</f>
        <v>32.18</v>
      </c>
      <c r="T12" s="77">
        <f>IFERROR(VLOOKUP($F12,GVA!$B$7:$S$230,GVA!O$3,FALSE),VLOOKUP($F12,GVA!$B$244:$T$554,GVA!P$3,FALSE))</f>
        <v>32.979999999999997</v>
      </c>
      <c r="U12" s="77">
        <f>IFERROR(VLOOKUP($F12,GVA!$B$7:$S$230,GVA!P$3,FALSE),VLOOKUP($F12,GVA!$B$244:$T$554,GVA!Q$3,FALSE))</f>
        <v>33.200000000000003</v>
      </c>
      <c r="V12" s="77">
        <f>IFERROR(VLOOKUP($F12,GVA!$B$7:$S$230,GVA!Q$3,FALSE),VLOOKUP($F12,GVA!$B$244:$T$554,GVA!R$3,FALSE))</f>
        <v>34.299999999999997</v>
      </c>
      <c r="W12" s="77">
        <f>IFERROR(VLOOKUP($F12,GVA!$B$7:$S$230,GVA!R$3,FALSE),VLOOKUP($F12,GVA!$B$244:$T$554,GVA!S$3,FALSE))</f>
        <v>35.5</v>
      </c>
      <c r="X12" s="77">
        <f>IFERROR(VLOOKUP($F12,GVA!$B$7:$S$230,GVA!S$3,FALSE),VLOOKUP($F12,GVA!$B$244:$T$554,GVA!T$3,FALSE))</f>
        <v>36.65</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South Oxfordshire to Rural as a Region</v>
      </c>
      <c r="G15" s="102"/>
      <c r="H15" s="103"/>
      <c r="I15" s="74">
        <f>100*((I12-I13)/I13)</f>
        <v>14.230518314731238</v>
      </c>
      <c r="J15" s="74">
        <f t="shared" ref="J15:X15" si="0">100*((J12-J13)/J13)</f>
        <v>14.079964298030308</v>
      </c>
      <c r="K15" s="74">
        <f t="shared" si="0"/>
        <v>16.030624090755392</v>
      </c>
      <c r="L15" s="74">
        <f t="shared" si="0"/>
        <v>15.505837694829449</v>
      </c>
      <c r="M15" s="74">
        <f t="shared" si="0"/>
        <v>15.299472724445529</v>
      </c>
      <c r="N15" s="74">
        <f t="shared" si="0"/>
        <v>15.888601726402172</v>
      </c>
      <c r="O15" s="74">
        <f t="shared" si="0"/>
        <v>17.486855892576099</v>
      </c>
      <c r="P15" s="74">
        <f t="shared" si="0"/>
        <v>17.709342466127261</v>
      </c>
      <c r="Q15" s="74">
        <f t="shared" si="0"/>
        <v>16.208049204439078</v>
      </c>
      <c r="R15" s="74">
        <f t="shared" si="0"/>
        <v>16.435133465637975</v>
      </c>
      <c r="S15" s="74">
        <f t="shared" si="0"/>
        <v>16.490193796946269</v>
      </c>
      <c r="T15" s="74">
        <f t="shared" si="0"/>
        <v>17.166009710544575</v>
      </c>
      <c r="U15" s="74">
        <f t="shared" si="0"/>
        <v>15.129772820159307</v>
      </c>
      <c r="V15" s="74">
        <f t="shared" si="0"/>
        <v>15.796877197918135</v>
      </c>
      <c r="W15" s="74">
        <f t="shared" si="0"/>
        <v>17.415905090778875</v>
      </c>
      <c r="X15" s="74">
        <f t="shared" si="0"/>
        <v>19.962124606925872</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South Oxfordshire</v>
      </c>
      <c r="G20" s="88"/>
      <c r="H20" s="89"/>
      <c r="I20" s="80">
        <f>IF(VLOOKUP($F20,PAY!$A$11:$AE$349,4,FALSE)="-",#N/A,VLOOKUP($F20,PAY!$A$11:$AE$349,4,FALSE))</f>
        <v>452.5</v>
      </c>
      <c r="J20" s="80">
        <f>IF(VLOOKUP($F20,PAY!$A$11:$AE$349,6,FALSE)="-",#N/A,VLOOKUP($F20,PAY!$A$11:$AE$349,6,FALSE))</f>
        <v>464</v>
      </c>
      <c r="K20" s="80">
        <f>IF(VLOOKUP($F20,PAY!$A$11:$AE$349,8,FALSE)="-",#N/A,VLOOKUP($F20,PAY!$A$11:$AE$349,8,FALSE))</f>
        <v>479.1</v>
      </c>
      <c r="L20" s="80">
        <f>IF(VLOOKUP($F20,PAY!$A$11:$AE$349,10,FALSE)="-",#N/A,VLOOKUP($F20,PAY!$A$11:$AE$349,10,FALSE))</f>
        <v>488.7</v>
      </c>
      <c r="M20" s="80">
        <f>IF(VLOOKUP($F20,PAY!$A$11:$AE$349,12,FALSE)="-",#N/A,VLOOKUP($F20,PAY!$A$11:$AE$349,12,FALSE))</f>
        <v>520.5</v>
      </c>
      <c r="N20" s="80">
        <f>IF(VLOOKUP($F20,PAY!$A$11:$AE$349,14,FALSE)="-",#N/A,VLOOKUP($F20,PAY!$A$11:$AE$349,14,FALSE))</f>
        <v>498.6</v>
      </c>
      <c r="O20" s="80">
        <f>IF(VLOOKUP($F20,PAY!$A$11:$AE$349,16,FALSE)="-",#N/A,VLOOKUP($F20,PAY!$A$11:$AE$349,16,FALSE))</f>
        <v>551.9</v>
      </c>
      <c r="P20" s="80">
        <f>IF(VLOOKUP($F20,PAY!$A$11:$AE$349,18,FALSE)="-",#N/A,VLOOKUP($F20,PAY!$A$11:$AE$349,18,FALSE))</f>
        <v>583.1</v>
      </c>
      <c r="Q20" s="80">
        <f>IF(VLOOKUP($F20,PAY!$A$11:$AE$349,20,FALSE)="-",#N/A,VLOOKUP($F20,PAY!$A$11:$AE$349,20,FALSE))</f>
        <v>580.20000000000005</v>
      </c>
      <c r="R20" s="80">
        <f>IF(VLOOKUP($F20,PAY!$A$11:$AE$349,22,FALSE)="-",#N/A,VLOOKUP($F20,PAY!$A$11:$AE$349,22,FALSE))</f>
        <v>564.79999999999995</v>
      </c>
      <c r="S20" s="80">
        <f>IF(VLOOKUP($F20,PAY!$A$11:$AE$349,24,FALSE)="-",#N/A,VLOOKUP($F20,PAY!$A$11:$AE$349,24,FALSE))</f>
        <v>568.5</v>
      </c>
      <c r="T20" s="80">
        <f>IF(VLOOKUP($F20,PAY!$A$11:$AE$349,26,FALSE)="-",#N/A,VLOOKUP($F20,PAY!$A$11:$AE$349,26,FALSE))</f>
        <v>596.29999999999995</v>
      </c>
      <c r="U20" s="80">
        <f>IF(VLOOKUP($F20,PAY!$A$11:$AE$349,28,FALSE)="-",#N/A,VLOOKUP($F20,PAY!$A$11:$AE$349,28,FALSE))</f>
        <v>632.20000000000005</v>
      </c>
      <c r="V20" s="80">
        <f>IF(VLOOKUP($F20,PAY!$A$11:$AE$349,30,FALSE)="-",#N/A,VLOOKUP($F20,PAY!$A$11:$AE$349,30,FALSE))</f>
        <v>650.79999999999995</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South Oxfordshire to Rural as a Region</v>
      </c>
      <c r="G23" s="102"/>
      <c r="H23" s="103"/>
      <c r="I23" s="74">
        <f>100*((I20-I21)/I21)</f>
        <v>4.5052972543149838</v>
      </c>
      <c r="J23" s="74">
        <f t="shared" ref="J23:V23" si="2">100*((J20-J21)/J21)</f>
        <v>6.1967156834696997</v>
      </c>
      <c r="K23" s="74">
        <f t="shared" si="2"/>
        <v>6.9150784302093804</v>
      </c>
      <c r="L23" s="74">
        <f t="shared" si="2"/>
        <v>8.4425980854793217</v>
      </c>
      <c r="M23" s="74">
        <f t="shared" si="2"/>
        <v>14.33453267415929</v>
      </c>
      <c r="N23" s="74">
        <f t="shared" si="2"/>
        <v>7.648959022262555</v>
      </c>
      <c r="O23" s="74">
        <f t="shared" si="2"/>
        <v>17.225367941624047</v>
      </c>
      <c r="P23" s="74">
        <f t="shared" si="2"/>
        <v>22.804038292869539</v>
      </c>
      <c r="Q23" s="74">
        <f t="shared" si="2"/>
        <v>18.533402639316659</v>
      </c>
      <c r="R23" s="74">
        <f t="shared" si="2"/>
        <v>12.050828091058651</v>
      </c>
      <c r="S23" s="74">
        <f t="shared" si="2"/>
        <v>10.511605413568068</v>
      </c>
      <c r="T23" s="74">
        <f t="shared" si="2"/>
        <v>11.7296852380177</v>
      </c>
      <c r="U23" s="74">
        <f t="shared" si="2"/>
        <v>19.047575833201044</v>
      </c>
      <c r="V23" s="74">
        <f t="shared" si="2"/>
        <v>15.338083534935715</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South Oxfordshire</v>
      </c>
      <c r="G28" s="88"/>
      <c r="H28" s="89"/>
      <c r="I28" s="76">
        <f>VLOOKUP($F28,EMPLOYMENT!$A$6:$BW$345,6,FALSE)</f>
        <v>77.8</v>
      </c>
      <c r="J28" s="77">
        <f>VLOOKUP($F28,EMPLOYMENT!$A$6:$BW$345,10,FALSE)</f>
        <v>80.599999999999994</v>
      </c>
      <c r="K28" s="77">
        <f>VLOOKUP($F28,EMPLOYMENT!$A$6:$BW$345,14,FALSE)</f>
        <v>79.8</v>
      </c>
      <c r="L28" s="77">
        <f>VLOOKUP($F28,EMPLOYMENT!$A$6:$BW$345,18,FALSE)</f>
        <v>77.099999999999994</v>
      </c>
      <c r="M28" s="77">
        <f>VLOOKUP($F28,EMPLOYMENT!$A$6:$BW$345,22,FALSE)</f>
        <v>77.400000000000006</v>
      </c>
      <c r="N28" s="77">
        <f>VLOOKUP($F28,EMPLOYMENT!$A$6:$BW$345,26,FALSE)</f>
        <v>82.3</v>
      </c>
      <c r="O28" s="77">
        <f>VLOOKUP($F28,EMPLOYMENT!$A$6:$BW$345,30,FALSE)</f>
        <v>77.5</v>
      </c>
      <c r="P28" s="77">
        <f>VLOOKUP($F28,EMPLOYMENT!$A$6:$BW$345,34,FALSE)</f>
        <v>79.2</v>
      </c>
      <c r="Q28" s="77">
        <f>VLOOKUP($F28,EMPLOYMENT!$A$6:$BW$345,38,FALSE)</f>
        <v>78.8</v>
      </c>
      <c r="R28" s="77">
        <f>VLOOKUP($F28,EMPLOYMENT!$A$6:$BW$345,42,FALSE)</f>
        <v>79.2</v>
      </c>
      <c r="S28" s="77">
        <f>VLOOKUP($F28,EMPLOYMENT!$A$6:$BW$345,46,FALSE)</f>
        <v>80.400000000000006</v>
      </c>
      <c r="T28" s="77">
        <f>VLOOKUP($F28,EMPLOYMENT!$A$6:$BW$345,50,FALSE)</f>
        <v>86.3</v>
      </c>
      <c r="U28" s="77">
        <f>VLOOKUP($F28,EMPLOYMENT!$A$6:$BW$345,54,FALSE)</f>
        <v>80.7</v>
      </c>
      <c r="V28" s="77">
        <f>VLOOKUP($F28,EMPLOYMENT!$A$6:$BW$345,58,FALSE)</f>
        <v>76.900000000000006</v>
      </c>
      <c r="W28" s="77">
        <f>VLOOKUP($F28,EMPLOYMENT!$A$6:$BW$345,62,FALSE)</f>
        <v>81.3</v>
      </c>
      <c r="X28" s="77">
        <f>VLOOKUP($F28,EMPLOYMENT!$A$6:$BW$345,66,FALSE)</f>
        <v>83.5</v>
      </c>
      <c r="Y28" s="77">
        <f>VLOOKUP($F28,EMPLOYMENT!$A$6:$BW$345,70,FALSE)</f>
        <v>85.1</v>
      </c>
      <c r="Z28" s="77">
        <f>VLOOKUP($F28,EMPLOYMENT!$A$6:$BW$345,74,FALSE)</f>
        <v>80.099999999999994</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South Oxfordshire to Rural as a Region</v>
      </c>
      <c r="G31" s="102"/>
      <c r="H31" s="103"/>
      <c r="I31" s="74">
        <f>(I28-I29)</f>
        <v>1.6886580805982589</v>
      </c>
      <c r="J31" s="74">
        <f t="shared" ref="J31:Z31" si="4">(J28-J29)</f>
        <v>4.2870245333170374</v>
      </c>
      <c r="K31" s="74">
        <f t="shared" si="4"/>
        <v>3.926811100513234</v>
      </c>
      <c r="L31" s="74">
        <f t="shared" si="4"/>
        <v>1.4595316973721566</v>
      </c>
      <c r="M31" s="74">
        <f t="shared" si="4"/>
        <v>1.6644756266682634</v>
      </c>
      <c r="N31" s="74">
        <f t="shared" si="4"/>
        <v>7.7904601571268159</v>
      </c>
      <c r="O31" s="74">
        <f t="shared" si="4"/>
        <v>3.952866861030131</v>
      </c>
      <c r="P31" s="74">
        <f t="shared" si="4"/>
        <v>5.4657045967223894</v>
      </c>
      <c r="Q31" s="74">
        <f t="shared" si="4"/>
        <v>4.7668425245374237</v>
      </c>
      <c r="R31" s="74">
        <f t="shared" si="4"/>
        <v>4.4555250700997959</v>
      </c>
      <c r="S31" s="74">
        <f t="shared" si="4"/>
        <v>4.2911396599243972</v>
      </c>
      <c r="T31" s="74">
        <f t="shared" si="4"/>
        <v>9.1094680243909778</v>
      </c>
      <c r="U31" s="74">
        <f t="shared" si="4"/>
        <v>3.7283675182919609</v>
      </c>
      <c r="V31" s="74">
        <f t="shared" si="4"/>
        <v>-1.132786885245892</v>
      </c>
      <c r="W31" s="74">
        <f t="shared" si="4"/>
        <v>3.2518431065858522</v>
      </c>
      <c r="X31" s="74">
        <f t="shared" si="4"/>
        <v>4.9087006210432946</v>
      </c>
      <c r="Y31" s="74">
        <f t="shared" si="4"/>
        <v>8.0856537038707899</v>
      </c>
      <c r="Z31" s="74">
        <f t="shared" si="4"/>
        <v>3.9442419221209519</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South Oxfordshire</v>
      </c>
      <c r="G36" s="88" t="str">
        <f>IFERROR(VLOOKUP(F36,GDHI!B338:C574,2,FALSE),VLOOKUP(F36,GDHI!C3:C336,1,FALSE))</f>
        <v>South Oxfordshire</v>
      </c>
      <c r="H36" s="89" t="str">
        <f>IF(F36=G36,"",G36)</f>
        <v/>
      </c>
      <c r="I36" s="83">
        <f>IFERROR(VLOOKUP($F36,GDHI!$B$338:$U$574,GDHI!G$578,FALSE),VLOOKUP($F36,GDHI!$C$3:$U$336,GDHI!F$578,FALSE))</f>
        <v>19749</v>
      </c>
      <c r="J36" s="84">
        <f>IFERROR(VLOOKUP($F36,GDHI!$B$338:$U$574,GDHI!H$578,FALSE),VLOOKUP($F36,GDHI!$C$3:$U$336,GDHI!G$578,FALSE))</f>
        <v>20563</v>
      </c>
      <c r="K36" s="84">
        <f>IFERROR(VLOOKUP($F36,GDHI!$B$338:$U$574,GDHI!I$578,FALSE),VLOOKUP($F36,GDHI!$C$3:$U$336,GDHI!H$578,FALSE))</f>
        <v>21742</v>
      </c>
      <c r="L36" s="84">
        <f>IFERROR(VLOOKUP($F36,GDHI!$B$338:$U$574,GDHI!J$578,FALSE),VLOOKUP($F36,GDHI!$C$3:$U$336,GDHI!I$578,FALSE))</f>
        <v>22665</v>
      </c>
      <c r="M36" s="84">
        <f>IFERROR(VLOOKUP($F36,GDHI!$B$338:$U$574,GDHI!K$578,FALSE),VLOOKUP($F36,GDHI!$C$3:$U$336,GDHI!J$578,FALSE))</f>
        <v>22969</v>
      </c>
      <c r="N36" s="84">
        <f>IFERROR(VLOOKUP($F36,GDHI!$B$338:$U$574,GDHI!L$578,FALSE),VLOOKUP($F36,GDHI!$C$3:$U$336,GDHI!K$578,FALSE))</f>
        <v>23046</v>
      </c>
      <c r="O36" s="84">
        <f>IFERROR(VLOOKUP($F36,GDHI!$B$338:$U$574,GDHI!M$578,FALSE),VLOOKUP($F36,GDHI!$C$3:$U$336,GDHI!L$578,FALSE))</f>
        <v>22993</v>
      </c>
      <c r="P36" s="84">
        <f>IFERROR(VLOOKUP($F36,GDHI!$B$338:$U$574,GDHI!N$578,FALSE),VLOOKUP($F36,GDHI!$C$3:$U$336,GDHI!M$578,FALSE))</f>
        <v>23237</v>
      </c>
      <c r="Q36" s="84">
        <f>IFERROR(VLOOKUP($F36,GDHI!$B$338:$U$574,GDHI!O$578,FALSE),VLOOKUP($F36,GDHI!$C$3:$U$336,GDHI!N$578,FALSE))</f>
        <v>24251</v>
      </c>
      <c r="R36" s="84">
        <f>IFERROR(VLOOKUP($F36,GDHI!$B$338:$U$574,GDHI!P$578,FALSE),VLOOKUP($F36,GDHI!$C$3:$U$336,GDHI!O$578,FALSE))</f>
        <v>25154</v>
      </c>
      <c r="S36" s="84">
        <f>IFERROR(VLOOKUP($F36,GDHI!$B$338:$U$574,GDHI!Q$578,FALSE),VLOOKUP($F36,GDHI!$C$3:$U$336,GDHI!P$578,FALSE))</f>
        <v>26045</v>
      </c>
      <c r="T36" s="84">
        <f>IFERROR(VLOOKUP($F36,GDHI!$B$338:$U$574,GDHI!R$578,FALSE),VLOOKUP($F36,GDHI!$C$3:$U$336,GDHI!Q$578,FALSE))</f>
        <v>28221</v>
      </c>
      <c r="U36" s="84">
        <f>IFERROR(VLOOKUP($F36,GDHI!$B$338:$U$574,GDHI!S$578,FALSE),VLOOKUP($F36,GDHI!$C$3:$U$336,GDHI!R$578,FALSE))</f>
        <v>28246</v>
      </c>
      <c r="V36" s="84">
        <f>IFERROR(VLOOKUP($F36,GDHI!$B$338:$U$574,GDHI!T$578,FALSE),VLOOKUP($F36,GDHI!$C$3:$U$336,GDHI!S$578,FALSE))</f>
        <v>28713</v>
      </c>
      <c r="W36" s="84">
        <f>IFERROR(VLOOKUP($F36,GDHI!$B$338:$U$574,GDHI!U$578,FALSE),VLOOKUP($F36,GDHI!$C$3:$U$336,GDHI!T$578,FALSE))</f>
        <v>29565</v>
      </c>
      <c r="X36" s="84">
        <f>IFERROR(VLOOKUP($F36,GDHI!$B$338:$U$574,GDHI!V$578,FALSE),VLOOKUP($F36,GDHI!$C$3:$U$336,GDHI!U$578,FALSE))</f>
        <v>29669</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South Oxfordshire to Rural as a Region</v>
      </c>
      <c r="G39" s="102"/>
      <c r="H39" s="103"/>
      <c r="I39" s="74">
        <f>100*((I36-I37)/I37)</f>
        <v>34.260171997688573</v>
      </c>
      <c r="J39" s="74">
        <f t="shared" ref="J39:X39" si="6">100*((J36-J37)/J37)</f>
        <v>34.035653509285844</v>
      </c>
      <c r="K39" s="74">
        <f t="shared" si="6"/>
        <v>36.534515124126166</v>
      </c>
      <c r="L39" s="74">
        <f t="shared" si="6"/>
        <v>36.798380716907836</v>
      </c>
      <c r="M39" s="74">
        <f t="shared" si="6"/>
        <v>34.609993699954593</v>
      </c>
      <c r="N39" s="74">
        <f t="shared" si="6"/>
        <v>33.268438426137855</v>
      </c>
      <c r="O39" s="74">
        <f t="shared" si="6"/>
        <v>31.329160617815745</v>
      </c>
      <c r="P39" s="74">
        <f t="shared" si="6"/>
        <v>30.544594583749113</v>
      </c>
      <c r="Q39" s="74">
        <f t="shared" si="6"/>
        <v>32.040337729310977</v>
      </c>
      <c r="R39" s="74">
        <f t="shared" si="6"/>
        <v>33.273706313378668</v>
      </c>
      <c r="S39" s="74">
        <f t="shared" si="6"/>
        <v>34.280016719174945</v>
      </c>
      <c r="T39" s="74">
        <f t="shared" si="6"/>
        <v>37.943627647800241</v>
      </c>
      <c r="U39" s="74">
        <f t="shared" si="6"/>
        <v>36.950935415574783</v>
      </c>
      <c r="V39" s="74">
        <f t="shared" si="6"/>
        <v>36.953644339535323</v>
      </c>
      <c r="W39" s="74">
        <f t="shared" si="6"/>
        <v>35.359221417133298</v>
      </c>
      <c r="X39" s="74">
        <f t="shared" si="6"/>
        <v>33.2532023434037</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South Oxfordshire</v>
      </c>
      <c r="G44" s="88"/>
      <c r="H44" s="89"/>
      <c r="I44" s="76">
        <f>VLOOKUP($F44,'LOW PAID'!$A$9:$N$444,6,FALSE)</f>
        <v>17</v>
      </c>
      <c r="J44" s="77">
        <f>VLOOKUP($F44,'LOW PAID'!$P$9:$W$444,6,FALSE)</f>
        <v>15.5</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South Oxfordshire to Rural as a Region</v>
      </c>
      <c r="G47" s="102"/>
      <c r="H47" s="103"/>
      <c r="I47" s="74">
        <f>(I44-I45)</f>
        <v>-8.1938746782131169</v>
      </c>
      <c r="J47" s="74">
        <f>(J44-J45)</f>
        <v>-10.186116509030054</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South Oxfordshire</v>
      </c>
      <c r="G52" s="88"/>
      <c r="H52" s="89"/>
      <c r="I52" s="76">
        <f>VLOOKUP($F52,INACTIVITY!$A$6:$BW$345,6,FALSE)</f>
        <v>19.399999999999999</v>
      </c>
      <c r="J52" s="77">
        <f>VLOOKUP($F52,INACTIVITY!$A$6:$BW$345,10,FALSE)</f>
        <v>18</v>
      </c>
      <c r="K52" s="77">
        <f>VLOOKUP($F52,INACTIVITY!$A$6:$BW$345,14,FALSE)</f>
        <v>18.399999999999999</v>
      </c>
      <c r="L52" s="77">
        <f>VLOOKUP($F52,INACTIVITY!$A$6:$BW$345,18,FALSE)</f>
        <v>20</v>
      </c>
      <c r="M52" s="77">
        <f>VLOOKUP($F52,INACTIVITY!$A$6:$BW$345,22,FALSE)</f>
        <v>18.600000000000001</v>
      </c>
      <c r="N52" s="77">
        <f>VLOOKUP($F52,INACTIVITY!$A$6:$BW$345,26,FALSE)</f>
        <v>13.4</v>
      </c>
      <c r="O52" s="77">
        <f>VLOOKUP($F52,INACTIVITY!$A$6:$BW$345,30,FALSE)</f>
        <v>20.399999999999999</v>
      </c>
      <c r="P52" s="77">
        <f>VLOOKUP($F52,INACTIVITY!$A$6:$BW$345,34,FALSE)</f>
        <v>18.3</v>
      </c>
      <c r="Q52" s="77">
        <f>VLOOKUP($F52,INACTIVITY!$A$6:$BW$345,38,FALSE)</f>
        <v>16.399999999999999</v>
      </c>
      <c r="R52" s="77">
        <f>VLOOKUP($F52,INACTIVITY!$A$6:$BW$345,42,FALSE)</f>
        <v>19.3</v>
      </c>
      <c r="S52" s="77">
        <f>VLOOKUP($F52,INACTIVITY!$A$6:$BW$345,46,FALSE)</f>
        <v>16.8</v>
      </c>
      <c r="T52" s="77">
        <f>VLOOKUP($F52,INACTIVITY!$A$6:$BW$345,50,FALSE)</f>
        <v>10.6</v>
      </c>
      <c r="U52" s="77">
        <f>VLOOKUP($F52,INACTIVITY!$A$6:$BW$345,54,FALSE)</f>
        <v>16.8</v>
      </c>
      <c r="V52" s="77">
        <f>VLOOKUP($F52,INACTIVITY!$A$6:$BW$345,58,FALSE)</f>
        <v>20</v>
      </c>
      <c r="W52" s="77">
        <f>VLOOKUP($F52,INACTIVITY!$A$6:$BW$345,62,FALSE)</f>
        <v>16.600000000000001</v>
      </c>
      <c r="X52" s="77">
        <f>VLOOKUP($F52,INACTIVITY!$A$6:$BW$345,66,FALSE)</f>
        <v>15.7</v>
      </c>
      <c r="Y52" s="77">
        <f>VLOOKUP($F52,INACTIVITY!$A$6:$BW$345,70,FALSE)</f>
        <v>12.2</v>
      </c>
      <c r="Z52" s="77">
        <f>VLOOKUP($F52,INACTIVITY!$A$6:$BW$345,74,FALSE)</f>
        <v>19.3</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South Oxfordshire to Rural as a Region</v>
      </c>
      <c r="G55" s="102"/>
      <c r="H55" s="103"/>
      <c r="I55" s="74">
        <f>(I52-I53)</f>
        <v>-1.9956445716102387</v>
      </c>
      <c r="J55" s="74">
        <f t="shared" ref="J55:Z55" si="10">(J52-J53)</f>
        <v>-3.0085227272727266</v>
      </c>
      <c r="K55" s="74">
        <f t="shared" si="10"/>
        <v>-2.4624653934587784</v>
      </c>
      <c r="L55" s="74">
        <f t="shared" si="10"/>
        <v>-1.3140653315366393</v>
      </c>
      <c r="M55" s="74">
        <f t="shared" si="10"/>
        <v>-2.2350023108920034</v>
      </c>
      <c r="N55" s="74">
        <f t="shared" si="10"/>
        <v>-7.5331437579204401</v>
      </c>
      <c r="O55" s="74">
        <f t="shared" si="10"/>
        <v>-1.2919371275051752</v>
      </c>
      <c r="P55" s="74">
        <f t="shared" si="10"/>
        <v>-3.1942457807534481</v>
      </c>
      <c r="Q55" s="74">
        <f t="shared" si="10"/>
        <v>-4.7825487944890952</v>
      </c>
      <c r="R55" s="74">
        <f t="shared" si="10"/>
        <v>-1.4745930974387704</v>
      </c>
      <c r="S55" s="74">
        <f t="shared" si="10"/>
        <v>-3.4732104559723993</v>
      </c>
      <c r="T55" s="74">
        <f t="shared" si="10"/>
        <v>-9.0961946834069582</v>
      </c>
      <c r="U55" s="74">
        <f t="shared" si="10"/>
        <v>-3.0524293470694701</v>
      </c>
      <c r="V55" s="74">
        <f t="shared" si="10"/>
        <v>0.74672266571962354</v>
      </c>
      <c r="W55" s="74">
        <f t="shared" si="10"/>
        <v>-2.5769560091828474</v>
      </c>
      <c r="X55" s="74">
        <f t="shared" si="10"/>
        <v>-3.1520649493649309</v>
      </c>
      <c r="Y55" s="74">
        <f t="shared" si="10"/>
        <v>-7.5725827218714628</v>
      </c>
      <c r="Z55" s="74">
        <f t="shared" si="10"/>
        <v>-1.7851797756300698</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South Oxfordshire</v>
      </c>
      <c r="G60" s="88"/>
      <c r="H60" s="89"/>
      <c r="I60" s="76">
        <f>VLOOKUP($F60,DISABILITY!$A$718:$I$1052,DISABILITY!B$1053,FALSE)</f>
        <v>30.800000000000004</v>
      </c>
      <c r="J60" s="77">
        <f>VLOOKUP($F60,DISABILITY!$A$718:$I$1052,DISABILITY!C$1053,FALSE)</f>
        <v>18.5</v>
      </c>
      <c r="K60" s="77">
        <f>VLOOKUP($F60,DISABILITY!$A$718:$I$1052,DISABILITY!D$1053,FALSE)</f>
        <v>31.200000000000003</v>
      </c>
      <c r="L60" s="77">
        <f>VLOOKUP($F60,DISABILITY!$A$718:$I$1052,DISABILITY!E$1053,FALSE)</f>
        <v>28.6</v>
      </c>
      <c r="M60" s="77">
        <f>VLOOKUP($F60,DISABILITY!$A$718:$I$1052,DISABILITY!F$1053,FALSE)</f>
        <v>23.800000000000004</v>
      </c>
      <c r="N60" s="77">
        <f>VLOOKUP($F60,DISABILITY!$A$718:$I$1052,DISABILITY!G$1053,FALSE)</f>
        <v>5.5999999999999943</v>
      </c>
      <c r="O60" s="77">
        <f>VLOOKUP($F60,DISABILITY!$A$718:$I$1052,DISABILITY!H$1053,FALSE)</f>
        <v>13.700000000000003</v>
      </c>
      <c r="P60" s="77">
        <f>VLOOKUP($F60,DISABILITY!$A$718:$I$1052,DISABILITY!I$1053,FALSE)</f>
        <v>35.100000000000009</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South Oxfordshire to Rural as a Region</v>
      </c>
      <c r="G63" s="102"/>
      <c r="H63" s="103"/>
      <c r="I63" s="74">
        <f>(I60-I61)</f>
        <v>3.379843459352756</v>
      </c>
      <c r="J63" s="74">
        <f t="shared" ref="J63:P63" si="12">(J60-J61)</f>
        <v>-8.8190444070511873</v>
      </c>
      <c r="K63" s="74">
        <f t="shared" si="12"/>
        <v>3.0808716385017973</v>
      </c>
      <c r="L63" s="74">
        <f t="shared" si="12"/>
        <v>2.6090654610033255</v>
      </c>
      <c r="M63" s="74">
        <f t="shared" si="12"/>
        <v>-1.6752258186661138</v>
      </c>
      <c r="N63" s="74">
        <f t="shared" si="12"/>
        <v>-19.931247685441988</v>
      </c>
      <c r="O63" s="74">
        <f t="shared" si="12"/>
        <v>-10.097222287996942</v>
      </c>
      <c r="P63" s="74">
        <f t="shared" si="12"/>
        <v>9.7458220696578337</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South Oxfordshire</v>
      </c>
      <c r="G68" s="88"/>
      <c r="H68" s="89"/>
      <c r="I68" s="76">
        <f>VLOOKUP($F68,'WORKLESS HOUSEHOLDS'!$DW$4:$EC$397,7,FALSE)</f>
        <v>5.275369827462888</v>
      </c>
      <c r="J68" s="77">
        <f>VLOOKUP($F68,'WORKLESS HOUSEHOLDS'!$DN$4:$DT$397,7,FALSE)</f>
        <v>9.7201758757697831</v>
      </c>
      <c r="K68" s="77">
        <f>VLOOKUP($F68,'WORKLESS HOUSEHOLDS'!$DE$4:$DK$397,7,FALSE)</f>
        <v>10.654397685009021</v>
      </c>
      <c r="L68" s="77" t="str">
        <f>VLOOKUP($F68,'WORKLESS HOUSEHOLDS'!$CV$4:$DB$397,7,FALSE)</f>
        <v>*</v>
      </c>
      <c r="M68" s="77">
        <f>VLOOKUP($F68,'WORKLESS HOUSEHOLDS'!$CM$4:$CS$397,7,FALSE)</f>
        <v>14.398341871158294</v>
      </c>
      <c r="N68" s="77">
        <f>VLOOKUP($F68,'WORKLESS HOUSEHOLDS'!$CD$4:$CJ$397,7,FALSE)</f>
        <v>3.6811184650851496</v>
      </c>
      <c r="O68" s="77">
        <f>VLOOKUP($F68,'WORKLESS HOUSEHOLDS'!$BU$4:$CA$397,7,FALSE)</f>
        <v>4.9518669778296376</v>
      </c>
      <c r="P68" s="77">
        <f>VLOOKUP($F68,'WORKLESS HOUSEHOLDS'!$BL$4:$BR$397,7,FALSE)</f>
        <v>12.955079271873165</v>
      </c>
      <c r="Q68" s="77">
        <f>VLOOKUP($F68,'WORKLESS HOUSEHOLDS'!$BC$4:$BI$397,7,FALSE)</f>
        <v>8.5356936694246688</v>
      </c>
      <c r="R68" s="77">
        <f>VLOOKUP($F68,'WORKLESS HOUSEHOLDS'!$AT$4:$AZ$397,7,FALSE)</f>
        <v>3.7607647941850364</v>
      </c>
      <c r="S68" s="77">
        <f>VLOOKUP($F68,'WORKLESS HOUSEHOLDS'!$AK$4:$AQ$397,7,FALSE)</f>
        <v>11.371717969900507</v>
      </c>
      <c r="T68" s="77">
        <f>VLOOKUP($F68,'WORKLESS HOUSEHOLDS'!$AB$4:$AH$397,7,FALSE)</f>
        <v>7.742297817715019</v>
      </c>
      <c r="U68" s="77" t="str">
        <f>VLOOKUP($F68,'WORKLESS HOUSEHOLDS'!$S$4:$Y$397,7,FALSE)</f>
        <v>#</v>
      </c>
      <c r="V68" s="77" t="str">
        <f>VLOOKUP($F68,'WORKLESS HOUSEHOLDS'!$J$4:$P$397,7,FALSE)</f>
        <v>#</v>
      </c>
      <c r="W68" s="77" t="str">
        <f>VLOOKUP($F68,'WORKLESS HOUSEHOLDS'!$B$4:$H$397,7,FALSE)</f>
        <v>n/a</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South Oxfordshire to Rural as a Region</v>
      </c>
      <c r="G71" s="102"/>
      <c r="H71" s="103"/>
      <c r="I71" s="74">
        <f>(I68-I69)</f>
        <v>-4.7365760351238029</v>
      </c>
      <c r="J71" s="74">
        <f t="shared" ref="J71:W71" si="14">(J68-J69)</f>
        <v>-1.1909789617052411</v>
      </c>
      <c r="K71" s="74">
        <f t="shared" si="14"/>
        <v>0.3611519558531775</v>
      </c>
      <c r="L71" s="74" t="e">
        <f t="shared" si="14"/>
        <v>#VALUE!</v>
      </c>
      <c r="M71" s="74">
        <f t="shared" si="14"/>
        <v>2.704562689969821</v>
      </c>
      <c r="N71" s="74">
        <f t="shared" si="14"/>
        <v>-8.2199812141702324</v>
      </c>
      <c r="O71" s="74">
        <f t="shared" si="14"/>
        <v>-6.0833862699128742</v>
      </c>
      <c r="P71" s="74">
        <f t="shared" si="14"/>
        <v>3.2635813861053276</v>
      </c>
      <c r="Q71" s="74">
        <f t="shared" si="14"/>
        <v>-2.2694845909737431</v>
      </c>
      <c r="R71" s="74">
        <f t="shared" si="14"/>
        <v>-6.9453315295445179</v>
      </c>
      <c r="S71" s="74">
        <f t="shared" si="14"/>
        <v>1.2189731417516256</v>
      </c>
      <c r="T71" s="74">
        <f t="shared" si="14"/>
        <v>-2.1613703769177315</v>
      </c>
      <c r="U71" s="74" t="e">
        <f t="shared" si="14"/>
        <v>#VALUE!</v>
      </c>
      <c r="V71" s="74" t="e">
        <f t="shared" si="14"/>
        <v>#VALUE!</v>
      </c>
      <c r="W71" s="74" t="e">
        <f t="shared" si="14"/>
        <v>#VALUE!</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South Oxfordshire</v>
      </c>
      <c r="G76" s="88"/>
      <c r="H76" s="89"/>
      <c r="I76" s="76">
        <f>VLOOKUP($F76,'SKILLED EMPLOYMENT'!$A$1506:$BW$1841,6,FALSE)</f>
        <v>60.5</v>
      </c>
      <c r="J76" s="77">
        <f>VLOOKUP($F76,'SKILLED EMPLOYMENT'!$A$1506:$BW$1841,10,FALSE)</f>
        <v>58</v>
      </c>
      <c r="K76" s="77">
        <f>VLOOKUP($F76,'SKILLED EMPLOYMENT'!$A$1506:$BW$1841,14,FALSE)</f>
        <v>57.3</v>
      </c>
      <c r="L76" s="77">
        <f>VLOOKUP($F76,'SKILLED EMPLOYMENT'!$A$1506:$BW$1841,18,FALSE)</f>
        <v>61.699999999999996</v>
      </c>
      <c r="M76" s="77">
        <f>VLOOKUP($F76,'SKILLED EMPLOYMENT'!$A$1506:$BW$1841,22,FALSE)</f>
        <v>62.8</v>
      </c>
      <c r="N76" s="77">
        <f>VLOOKUP($F76,'SKILLED EMPLOYMENT'!$A$1506:$BW$1841,26,FALSE)</f>
        <v>61.7</v>
      </c>
      <c r="O76" s="77">
        <f>VLOOKUP($F76,'SKILLED EMPLOYMENT'!$A$1506:$BW$1841,30,FALSE)</f>
        <v>63.2</v>
      </c>
      <c r="P76" s="77">
        <f>VLOOKUP($F76,'SKILLED EMPLOYMENT'!$A$1506:$BW$1841,34,FALSE)</f>
        <v>62.4</v>
      </c>
      <c r="Q76" s="77">
        <f>VLOOKUP($F76,'SKILLED EMPLOYMENT'!$A$1506:$BW$1841,38,FALSE)</f>
        <v>64.5</v>
      </c>
      <c r="R76" s="77">
        <f>VLOOKUP($F76,'SKILLED EMPLOYMENT'!$A$1506:$BW$1841,42,FALSE)</f>
        <v>74</v>
      </c>
      <c r="S76" s="77">
        <f>VLOOKUP($F76,'SKILLED EMPLOYMENT'!$A$1506:$BW$1841,46,FALSE)</f>
        <v>68.699999999999989</v>
      </c>
      <c r="T76" s="77">
        <f>VLOOKUP($F76,'SKILLED EMPLOYMENT'!$A$1506:$BW$1841,50,FALSE)</f>
        <v>71.5</v>
      </c>
      <c r="U76" s="77">
        <f>VLOOKUP($F76,'SKILLED EMPLOYMENT'!$A$1506:$BW$1841,54,FALSE)</f>
        <v>68.2</v>
      </c>
      <c r="V76" s="77">
        <f>VLOOKUP($F76,'SKILLED EMPLOYMENT'!$A$1506:$BW$1841,58,FALSE)</f>
        <v>74.100000000000009</v>
      </c>
      <c r="W76" s="77">
        <f>VLOOKUP($F76,'SKILLED EMPLOYMENT'!$A$1506:$BW$1841,62,FALSE)</f>
        <v>73.900000000000006</v>
      </c>
      <c r="X76" s="77">
        <f>VLOOKUP($F76,'SKILLED EMPLOYMENT'!$A$1506:$BW$1841,66,FALSE)</f>
        <v>63.3</v>
      </c>
      <c r="Y76" s="77">
        <f>VLOOKUP($F76,'SKILLED EMPLOYMENT'!$A$1506:$BW$1841,70,FALSE)</f>
        <v>66.3</v>
      </c>
      <c r="Z76" s="77">
        <f>VLOOKUP($F76,'SKILLED EMPLOYMENT'!$A$1506:$BW$1841,74,FALSE)</f>
        <v>69</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South Oxfordshire to Rural as a Region</v>
      </c>
      <c r="G79" s="102"/>
      <c r="H79" s="103"/>
      <c r="I79" s="74">
        <f>(I76-I77)</f>
        <v>7.7999999999999972</v>
      </c>
      <c r="J79" s="74">
        <f t="shared" ref="J79:Z79" si="17">(J76-J77)</f>
        <v>5.1000000000000014</v>
      </c>
      <c r="K79" s="74">
        <f t="shared" si="17"/>
        <v>3.7999999999999972</v>
      </c>
      <c r="L79" s="74">
        <f t="shared" si="17"/>
        <v>7.6999999999999957</v>
      </c>
      <c r="M79" s="74">
        <f t="shared" si="17"/>
        <v>8.6999999999999957</v>
      </c>
      <c r="N79" s="74">
        <f t="shared" si="17"/>
        <v>7.3000000000000043</v>
      </c>
      <c r="O79" s="74">
        <f t="shared" si="17"/>
        <v>7.8000000000000043</v>
      </c>
      <c r="P79" s="74">
        <f t="shared" si="17"/>
        <v>6.7999999999999972</v>
      </c>
      <c r="Q79" s="74">
        <f t="shared" si="17"/>
        <v>9.1000000000000014</v>
      </c>
      <c r="R79" s="74">
        <f t="shared" si="17"/>
        <v>17.799999999999997</v>
      </c>
      <c r="S79" s="74">
        <f t="shared" si="17"/>
        <v>12.499999999999986</v>
      </c>
      <c r="T79" s="74">
        <f t="shared" si="17"/>
        <v>14.700000000000003</v>
      </c>
      <c r="U79" s="74">
        <f t="shared" si="17"/>
        <v>11.600000000000001</v>
      </c>
      <c r="V79" s="74">
        <f t="shared" si="17"/>
        <v>17.000000000000007</v>
      </c>
      <c r="W79" s="74">
        <f t="shared" si="17"/>
        <v>16.100000000000009</v>
      </c>
      <c r="X79" s="74">
        <f t="shared" si="17"/>
        <v>4.5</v>
      </c>
      <c r="Y79" s="74">
        <f t="shared" si="17"/>
        <v>7.5999999999999943</v>
      </c>
      <c r="Z79" s="74">
        <f t="shared" si="17"/>
        <v>10.600000000000001</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gUCgkIAR5OzcD1x+xBeNxgWA7FP4XY5EpNVp/zX/+NE/MLgqpn1/KAClcyc9dgdW4ri1pUenwDq+6CKJjEVVEA==" saltValue="KYtL/Jv7Gzlqtqn6dhtVlQ=="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2022-08-02T13:22:19Z</dcterms:modified>
</cp:coreProperties>
</file>