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D6362DDE-2D9F-46B1-85B8-D51B57E9CE5E}" xr6:coauthVersionLast="47" xr6:coauthVersionMax="47" xr10:uidLastSave="{5BA19136-57A1-4938-8626-3F9D8CD1631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<sst xmlns="http://schemas.openxmlformats.org/spreadsheetml/2006/main" count="32859" uniqueCount="1676">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</sst>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23.82</c:v>
                </c:pt>
                <c:pt idx="1">
                  <c:v>23.83</c:v>
                </c:pt>
                <c:pt idx="2">
                  <c:v>23.44</c:v>
                </c:pt>
                <c:pt idx="3">
                  <c:v>23.39</c:v>
                </c:pt>
                <c:pt idx="4">
                  <c:v>23.96</c:v>
                </c:pt>
                <c:pt idx="5">
                  <c:v>24.27</c:v>
                </c:pt>
                <c:pt idx="6">
                  <c:v>24.64</c:v>
                </c:pt>
                <c:pt idx="7">
                  <c:v>24.79</c:v>
                </c:pt>
                <c:pt idx="8">
                  <c:v>25.72</c:v>
                </c:pt>
                <c:pt idx="9">
                  <c:v>26.58</c:v>
                </c:pt>
                <c:pt idx="10">
                  <c:v>27.49</c:v>
                </c:pt>
                <c:pt idx="11">
                  <c:v>28.04</c:v>
                </c:pt>
                <c:pt idx="12">
                  <c:v>28.85</c:v>
                </c:pt>
                <c:pt idx="13">
                  <c:v>29.69</c:v>
                </c:pt>
                <c:pt idx="14">
                  <c:v>30.33</c:v>
                </c:pt>
                <c:pt idx="15">
                  <c:v>30.62</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423.1</c:v>
                </c:pt>
                <c:pt idx="1">
                  <c:v>435.3</c:v>
                </c:pt>
                <c:pt idx="2">
                  <c:v>446</c:v>
                </c:pt>
                <c:pt idx="3">
                  <c:v>469</c:v>
                </c:pt>
                <c:pt idx="4">
                  <c:v>479.6</c:v>
                </c:pt>
                <c:pt idx="5">
                  <c:v>466.7</c:v>
                </c:pt>
                <c:pt idx="6">
                  <c:v>479.7</c:v>
                </c:pt>
                <c:pt idx="7">
                  <c:v>462.3</c:v>
                </c:pt>
                <c:pt idx="8">
                  <c:v>479.1</c:v>
                </c:pt>
                <c:pt idx="9">
                  <c:v>502.2</c:v>
                </c:pt>
                <c:pt idx="10">
                  <c:v>519.20000000000005</c:v>
                </c:pt>
                <c:pt idx="11">
                  <c:v>570.20000000000005</c:v>
                </c:pt>
                <c:pt idx="12">
                  <c:v>549.70000000000005</c:v>
                </c:pt>
                <c:pt idx="13">
                  <c:v>582</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77.2</c:v>
                </c:pt>
                <c:pt idx="1">
                  <c:v>72.400000000000006</c:v>
                </c:pt>
                <c:pt idx="2">
                  <c:v>74.8</c:v>
                </c:pt>
                <c:pt idx="3">
                  <c:v>78.3</c:v>
                </c:pt>
                <c:pt idx="4">
                  <c:v>82.3</c:v>
                </c:pt>
                <c:pt idx="5">
                  <c:v>75.8</c:v>
                </c:pt>
                <c:pt idx="6">
                  <c:v>76.8</c:v>
                </c:pt>
                <c:pt idx="7">
                  <c:v>74.8</c:v>
                </c:pt>
                <c:pt idx="8">
                  <c:v>73.400000000000006</c:v>
                </c:pt>
                <c:pt idx="9">
                  <c:v>79</c:v>
                </c:pt>
                <c:pt idx="10">
                  <c:v>76.599999999999994</c:v>
                </c:pt>
                <c:pt idx="11">
                  <c:v>80.599999999999994</c:v>
                </c:pt>
                <c:pt idx="12">
                  <c:v>76.900000000000006</c:v>
                </c:pt>
                <c:pt idx="13">
                  <c:v>77.900000000000006</c:v>
                </c:pt>
                <c:pt idx="14">
                  <c:v>82.9</c:v>
                </c:pt>
                <c:pt idx="15">
                  <c:v>80.599999999999994</c:v>
                </c:pt>
                <c:pt idx="16">
                  <c:v>75.8</c:v>
                </c:pt>
                <c:pt idx="17">
                  <c:v>72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13928</c:v>
                </c:pt>
                <c:pt idx="1">
                  <c:v>14368</c:v>
                </c:pt>
                <c:pt idx="2">
                  <c:v>15191</c:v>
                </c:pt>
                <c:pt idx="3">
                  <c:v>15741</c:v>
                </c:pt>
                <c:pt idx="4">
                  <c:v>16340</c:v>
                </c:pt>
                <c:pt idx="5">
                  <c:v>16191</c:v>
                </c:pt>
                <c:pt idx="6">
                  <c:v>16782</c:v>
                </c:pt>
                <c:pt idx="7">
                  <c:v>17116</c:v>
                </c:pt>
                <c:pt idx="8">
                  <c:v>17360</c:v>
                </c:pt>
                <c:pt idx="9">
                  <c:v>17695</c:v>
                </c:pt>
                <c:pt idx="10">
                  <c:v>18442</c:v>
                </c:pt>
                <c:pt idx="11">
                  <c:v>19175</c:v>
                </c:pt>
                <c:pt idx="12">
                  <c:v>19212</c:v>
                </c:pt>
                <c:pt idx="13">
                  <c:v>19651</c:v>
                </c:pt>
                <c:pt idx="14">
                  <c:v>20682</c:v>
                </c:pt>
                <c:pt idx="15">
                  <c:v>20810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Somerset</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23.2</c:v>
                </c:pt>
                <c:pt idx="1">
                  <c:v>22.1</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20.100000000000001</c:v>
                </c:pt>
                <c:pt idx="1">
                  <c:v>23.8</c:v>
                </c:pt>
                <c:pt idx="2">
                  <c:v>21.3</c:v>
                </c:pt>
                <c:pt idx="3">
                  <c:v>18.899999999999999</c:v>
                </c:pt>
                <c:pt idx="4">
                  <c:v>15.8</c:v>
                </c:pt>
                <c:pt idx="5">
                  <c:v>19.600000000000001</c:v>
                </c:pt>
                <c:pt idx="6">
                  <c:v>16.8</c:v>
                </c:pt>
                <c:pt idx="7">
                  <c:v>22.1</c:v>
                </c:pt>
                <c:pt idx="8">
                  <c:v>23.1</c:v>
                </c:pt>
                <c:pt idx="9">
                  <c:v>18.600000000000001</c:v>
                </c:pt>
                <c:pt idx="10">
                  <c:v>19.5</c:v>
                </c:pt>
                <c:pt idx="11">
                  <c:v>16.3</c:v>
                </c:pt>
                <c:pt idx="12">
                  <c:v>20.5</c:v>
                </c:pt>
                <c:pt idx="13">
                  <c:v>20.3</c:v>
                </c:pt>
                <c:pt idx="14">
                  <c:v>16.100000000000001</c:v>
                </c:pt>
                <c:pt idx="15">
                  <c:v>17.899999999999999</c:v>
                </c:pt>
                <c:pt idx="16">
                  <c:v>23.8</c:v>
                </c:pt>
                <c:pt idx="17">
                  <c:v>26.2</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35.100000000000009</c:v>
                </c:pt>
                <c:pt idx="1">
                  <c:v>30.799999999999997</c:v>
                </c:pt>
                <c:pt idx="2">
                  <c:v>28.500000000000007</c:v>
                </c:pt>
                <c:pt idx="3">
                  <c:v>6.1000000000000085</c:v>
                </c:pt>
                <c:pt idx="4">
                  <c:v>24.699999999999996</c:v>
                </c:pt>
                <c:pt idx="5">
                  <c:v>33.5</c:v>
                </c:pt>
                <c:pt idx="6">
                  <c:v>31.700000000000003</c:v>
                </c:pt>
                <c:pt idx="7">
                  <c:v>26.999999999999993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9.3998901625169768</c:v>
                </c:pt>
                <c:pt idx="1">
                  <c:v>5.3888301397684737</c:v>
                </c:pt>
                <c:pt idx="2">
                  <c:v>3.7974471513263768</c:v>
                </c:pt>
                <c:pt idx="3">
                  <c:v>7.2692793333421672</c:v>
                </c:pt>
                <c:pt idx="4">
                  <c:v>12.656638688420593</c:v>
                </c:pt>
                <c:pt idx="5">
                  <c:v>23.205106237148733</c:v>
                </c:pt>
                <c:pt idx="6">
                  <c:v>18.088069251035002</c:v>
                </c:pt>
                <c:pt idx="7">
                  <c:v>10.99039638103007</c:v>
                </c:pt>
                <c:pt idx="8">
                  <c:v>11.639271434917815</c:v>
                </c:pt>
                <c:pt idx="9">
                  <c:v>0</c:v>
                </c:pt>
                <c:pt idx="10">
                  <c:v>13.443132155885435</c:v>
                </c:pt>
                <c:pt idx="11">
                  <c:v>12.885682994070773</c:v>
                </c:pt>
                <c:pt idx="12">
                  <c:v>11.07383529274483</c:v>
                </c:pt>
                <c:pt idx="13">
                  <c:v>14.047473779017402</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Somerset</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51.2</c:v>
                </c:pt>
                <c:pt idx="1">
                  <c:v>52.8</c:v>
                </c:pt>
                <c:pt idx="2">
                  <c:v>51.5</c:v>
                </c:pt>
                <c:pt idx="3">
                  <c:v>52</c:v>
                </c:pt>
                <c:pt idx="4">
                  <c:v>48.7</c:v>
                </c:pt>
                <c:pt idx="5">
                  <c:v>54.5</c:v>
                </c:pt>
                <c:pt idx="6">
                  <c:v>55.5</c:v>
                </c:pt>
                <c:pt idx="7">
                  <c:v>51.1</c:v>
                </c:pt>
                <c:pt idx="8">
                  <c:v>52.6</c:v>
                </c:pt>
                <c:pt idx="9">
                  <c:v>52.4</c:v>
                </c:pt>
                <c:pt idx="10">
                  <c:v>46.6</c:v>
                </c:pt>
                <c:pt idx="11">
                  <c:v>52.9</c:v>
                </c:pt>
                <c:pt idx="12">
                  <c:v>52.499999999999993</c:v>
                </c:pt>
                <c:pt idx="13">
                  <c:v>57.800000000000004</c:v>
                </c:pt>
                <c:pt idx="14">
                  <c:v>57.499999999999993</c:v>
                </c:pt>
                <c:pt idx="15">
                  <c:v>54.9</c:v>
                </c:pt>
                <c:pt idx="16">
                  <c:v>47.8</c:v>
                </c:pt>
                <c:pt idx="17">
                  <c:v>59.2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7620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7696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Somerset has fluctuated over the years but is essentially either close to or above the rural situation in the period 2004 to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South Somerset,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With the proportion dropping between 2017 and 2018 for South Somerset, it has dropped below that seen for England.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Somerset's economic inactivity rate has fluctuated in the period 2004 to 2021 taking it both above as well as below the proportions seen for </a:t>
          </a:r>
          <a:r>
            <a:rPr lang="en-GB" sz="1100">
              <a:latin typeface="Avenir Next LT Pro" panose="020B0504020202020204" pitchFamily="34" charset="0"/>
            </a:rPr>
            <a:t>'Rural as a Region' and in 2020 and 2021 above the</a:t>
          </a:r>
          <a:r>
            <a:rPr lang="en-GB" sz="1100" baseline="0">
              <a:latin typeface="Avenir Next LT Pro" panose="020B0504020202020204" pitchFamily="34" charset="0"/>
            </a:rPr>
            <a:t> proportions</a:t>
          </a:r>
          <a:r>
            <a:rPr lang="en-GB" sz="1100">
              <a:latin typeface="Avenir Next LT Pro" panose="020B0504020202020204" pitchFamily="34" charset="0"/>
            </a:rPr>
            <a:t> seen for England.</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South Somerset between 2014 and 2021 is generally between 25% and 35%, with the exception of 2017 where it drops to 6%.</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Somerset has been less stable and has in certain years been significantly greater than both the England and rural average position, and in other years significantly less.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Somerset in general has a lower proportion of employed people in skilled employment than seen for 'Rural as a Region'.</a:t>
          </a:r>
          <a:endParaRPr lang="en-GB" sz="1100">
            <a:latin typeface="Avenir Next LT Pro" panose="020B0504020202020204" pitchFamily="34" charset="0"/>
          </a:endParaRPr>
        </a:p>
      </xdr:txBody>
    </xdr:sp>
    <xdr:clientData/>
  </xdr:twoCellAnchor>
  <xdr:twoCellAnchor>
    <xdr:from>
      <xdr:col>0</xdr:col>
      <xdr:colOff>617220</xdr:colOff>
      <xdr:row>21</xdr:row>
      <xdr:rowOff>15240</xdr:rowOff>
    </xdr:from>
    <xdr:to>
      <xdr:col>1</xdr:col>
      <xdr:colOff>2598420</xdr:colOff>
      <xdr:row>22</xdr:row>
      <xdr:rowOff>190500</xdr:rowOff>
    </xdr:to>
    <xdr:sp macro="" textlink="">
      <xdr:nvSpPr>
        <xdr:cNvPr id="20" name="TextBox 19">
          <a:extLst>
            <a:ext uri="{FF2B5EF4-FFF2-40B4-BE49-F238E27FC236}">
              <a16:creationId xmlns:a16="http://schemas.microsoft.com/office/drawing/2014/main" id="{6316FAF4-E04A-4F25-95B9-6DF2748723D0}"/>
            </a:ext>
          </a:extLst>
        </xdr:cNvPr>
        <xdr:cNvSpPr txBox="1"/>
      </xdr:nvSpPr>
      <xdr:spPr>
        <a:xfrm>
          <a:off x="617220" y="75895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Somerset shows some fluctuation, but otherwise closely follows the path of 'Rural as a Region'.</a:t>
          </a:r>
          <a:endParaRPr lang="en-GB" sz="1100">
            <a:latin typeface="Avenir Next LT Pro" panose="020B0504020202020204" pitchFamily="34" charset="0"/>
          </a:endParaRPr>
        </a:p>
      </xdr:txBody>
    </xdr:sp>
    <xdr:clientData/>
  </xdr:twoCellAnchor>
  <xdr:twoCellAnchor>
    <xdr:from>
      <xdr:col>0</xdr:col>
      <xdr:colOff>548640</xdr:colOff>
      <xdr:row>12</xdr:row>
      <xdr:rowOff>518160</xdr:rowOff>
    </xdr:from>
    <xdr:to>
      <xdr:col>1</xdr:col>
      <xdr:colOff>2529840</xdr:colOff>
      <xdr:row>14</xdr:row>
      <xdr:rowOff>22860</xdr:rowOff>
    </xdr:to>
    <xdr:sp macro="" textlink="">
      <xdr:nvSpPr>
        <xdr:cNvPr id="21" name="TextBox 20">
          <a:extLst>
            <a:ext uri="{FF2B5EF4-FFF2-40B4-BE49-F238E27FC236}">
              <a16:creationId xmlns:a16="http://schemas.microsoft.com/office/drawing/2014/main" id="{242BF927-F901-4BF0-8E81-F50B162EF12F}"/>
            </a:ext>
          </a:extLst>
        </xdr:cNvPr>
        <xdr:cNvSpPr txBox="1"/>
      </xdr:nvSpPr>
      <xdr:spPr>
        <a:xfrm>
          <a:off x="548640" y="35052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Somerset very closely follows the path of 'Rural as a Region'.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449</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Somerset</v>
      </c>
      <c r="G12" s="88" t="str">
        <f>IFERROR(VLOOKUP(F12,GVA!B244:B552,1,FALSE),VLOOKUP(F12,GVA!B6:C230,2,FALSE))</f>
        <v>South Somerset</v>
      </c>
      <c r="H12" s="89" t="str">
        <f>IF(F12=G12,"",G12)</f>
        <v/>
      </c>
      <c r="I12" s="76">
        <f>IFERROR(VLOOKUP($F12,GVA!$B$7:$S$230,GVA!D$3,FALSE),VLOOKUP($F12,GVA!$B$244:$T$554,GVA!E$3,FALSE))</f>
        <v>23.82</v>
      </c>
      <c r="J12" s="77">
        <f>IFERROR(VLOOKUP($F12,GVA!$B$7:$S$230,GVA!E$3,FALSE),VLOOKUP($F12,GVA!$B$244:$T$554,GVA!F$3,FALSE))</f>
        <v>23.83</v>
      </c>
      <c r="K12" s="77">
        <f>IFERROR(VLOOKUP($F12,GVA!$B$7:$S$230,GVA!F$3,FALSE),VLOOKUP($F12,GVA!$B$244:$T$554,GVA!G$3,FALSE))</f>
        <v>23.44</v>
      </c>
      <c r="L12" s="77">
        <f>IFERROR(VLOOKUP($F12,GVA!$B$7:$S$230,GVA!G$3,FALSE),VLOOKUP($F12,GVA!$B$244:$T$554,GVA!H$3,FALSE))</f>
        <v>23.39</v>
      </c>
      <c r="M12" s="77">
        <f>IFERROR(VLOOKUP($F12,GVA!$B$7:$S$230,GVA!H$3,FALSE),VLOOKUP($F12,GVA!$B$244:$T$554,GVA!I$3,FALSE))</f>
        <v>23.96</v>
      </c>
      <c r="N12" s="77">
        <f>IFERROR(VLOOKUP($F12,GVA!$B$7:$S$230,GVA!I$3,FALSE),VLOOKUP($F12,GVA!$B$244:$T$554,GVA!J$3,FALSE))</f>
        <v>24.27</v>
      </c>
      <c r="O12" s="77">
        <f>IFERROR(VLOOKUP($F12,GVA!$B$7:$S$230,GVA!J$3,FALSE),VLOOKUP($F12,GVA!$B$244:$T$554,GVA!K$3,FALSE))</f>
        <v>24.64</v>
      </c>
      <c r="P12" s="77">
        <f>IFERROR(VLOOKUP($F12,GVA!$B$7:$S$230,GVA!K$3,FALSE),VLOOKUP($F12,GVA!$B$244:$T$554,GVA!L$3,FALSE))</f>
        <v>24.79</v>
      </c>
      <c r="Q12" s="77">
        <f>IFERROR(VLOOKUP($F12,GVA!$B$7:$S$230,GVA!L$3,FALSE),VLOOKUP($F12,GVA!$B$244:$T$554,GVA!M$3,FALSE))</f>
        <v>25.72</v>
      </c>
      <c r="R12" s="77">
        <f>IFERROR(VLOOKUP($F12,GVA!$B$7:$S$230,GVA!M$3,FALSE),VLOOKUP($F12,GVA!$B$244:$T$554,GVA!N$3,FALSE))</f>
        <v>26.58</v>
      </c>
      <c r="S12" s="77">
        <f>IFERROR(VLOOKUP($F12,GVA!$B$7:$S$230,GVA!N$3,FALSE),VLOOKUP($F12,GVA!$B$244:$T$554,GVA!O$3,FALSE))</f>
        <v>27.49</v>
      </c>
      <c r="T12" s="77">
        <f>IFERROR(VLOOKUP($F12,GVA!$B$7:$S$230,GVA!O$3,FALSE),VLOOKUP($F12,GVA!$B$244:$T$554,GVA!P$3,FALSE))</f>
        <v>28.04</v>
      </c>
      <c r="U12" s="77">
        <f>IFERROR(VLOOKUP($F12,GVA!$B$7:$S$230,GVA!P$3,FALSE),VLOOKUP($F12,GVA!$B$244:$T$554,GVA!Q$3,FALSE))</f>
        <v>28.85</v>
      </c>
      <c r="V12" s="77">
        <f>IFERROR(VLOOKUP($F12,GVA!$B$7:$S$230,GVA!Q$3,FALSE),VLOOKUP($F12,GVA!$B$244:$T$554,GVA!R$3,FALSE))</f>
        <v>29.69</v>
      </c>
      <c r="W12" s="77">
        <f>IFERROR(VLOOKUP($F12,GVA!$B$7:$S$230,GVA!R$3,FALSE),VLOOKUP($F12,GVA!$B$244:$T$554,GVA!S$3,FALSE))</f>
        <v>30.33</v>
      </c>
      <c r="X12" s="77">
        <f>IFERROR(VLOOKUP($F12,GVA!$B$7:$S$230,GVA!S$3,FALSE),VLOOKUP($F12,GVA!$B$244:$T$554,GVA!T$3,FALSE))</f>
        <v>30.62</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South Somerset to Rural as a Region</v>
      </c>
      <c r="G15" s="102"/>
      <c r="H15" s="103"/>
      <c r="I15" s="74">
        <f>100*((I12-I13)/I13)</f>
        <v>1.1889530032316142</v>
      </c>
      <c r="J15" s="74">
        <f t="shared" ref="J15:X15" si="0">100*((J12-J13)/J13)</f>
        <v>1.5132766699799076</v>
      </c>
      <c r="K15" s="74">
        <f t="shared" si="0"/>
        <v>-3.554686925982034</v>
      </c>
      <c r="L15" s="74">
        <f t="shared" si="0"/>
        <v>-5.8319434059930026</v>
      </c>
      <c r="M15" s="74">
        <f t="shared" si="0"/>
        <v>-5.1639077762542041</v>
      </c>
      <c r="N15" s="74">
        <f t="shared" si="0"/>
        <v>-4.7216678895738262</v>
      </c>
      <c r="O15" s="74">
        <f t="shared" si="0"/>
        <v>-4.4595336899975235</v>
      </c>
      <c r="P15" s="74">
        <f t="shared" si="0"/>
        <v>-5.2900162370887749</v>
      </c>
      <c r="Q15" s="74">
        <f t="shared" si="0"/>
        <v>-3.7090520123011257</v>
      </c>
      <c r="R15" s="74">
        <f t="shared" si="0"/>
        <v>-2.1856558939109649</v>
      </c>
      <c r="S15" s="74">
        <f t="shared" si="0"/>
        <v>-0.48740125922769623</v>
      </c>
      <c r="T15" s="74">
        <f t="shared" si="0"/>
        <v>-0.38402327823923277</v>
      </c>
      <c r="U15" s="74">
        <f t="shared" si="0"/>
        <v>4.4998369325176035E-2</v>
      </c>
      <c r="V15" s="74">
        <f t="shared" si="0"/>
        <v>0.23350682233789713</v>
      </c>
      <c r="W15" s="74">
        <f t="shared" si="0"/>
        <v>0.31618032122036821</v>
      </c>
      <c r="X15" s="74">
        <f t="shared" si="0"/>
        <v>0.22483643831024522</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Somerset</v>
      </c>
      <c r="G20" s="88"/>
      <c r="H20" s="89"/>
      <c r="I20" s="80">
        <f>IF(VLOOKUP($F20,PAY!$A$11:$AE$349,4,FALSE)="-",#N/A,VLOOKUP($F20,PAY!$A$11:$AE$349,4,FALSE))</f>
        <v>423.1</v>
      </c>
      <c r="J20" s="80">
        <f>IF(VLOOKUP($F20,PAY!$A$11:$AE$349,6,FALSE)="-",#N/A,VLOOKUP($F20,PAY!$A$11:$AE$349,6,FALSE))</f>
        <v>435.3</v>
      </c>
      <c r="K20" s="80">
        <f>IF(VLOOKUP($F20,PAY!$A$11:$AE$349,8,FALSE)="-",#N/A,VLOOKUP($F20,PAY!$A$11:$AE$349,8,FALSE))</f>
        <v>446</v>
      </c>
      <c r="L20" s="80">
        <f>IF(VLOOKUP($F20,PAY!$A$11:$AE$349,10,FALSE)="-",#N/A,VLOOKUP($F20,PAY!$A$11:$AE$349,10,FALSE))</f>
        <v>469</v>
      </c>
      <c r="M20" s="80">
        <f>IF(VLOOKUP($F20,PAY!$A$11:$AE$349,12,FALSE)="-",#N/A,VLOOKUP($F20,PAY!$A$11:$AE$349,12,FALSE))</f>
        <v>479.6</v>
      </c>
      <c r="N20" s="80">
        <f>IF(VLOOKUP($F20,PAY!$A$11:$AE$349,14,FALSE)="-",#N/A,VLOOKUP($F20,PAY!$A$11:$AE$349,14,FALSE))</f>
        <v>466.7</v>
      </c>
      <c r="O20" s="80">
        <f>IF(VLOOKUP($F20,PAY!$A$11:$AE$349,16,FALSE)="-",#N/A,VLOOKUP($F20,PAY!$A$11:$AE$349,16,FALSE))</f>
        <v>479.7</v>
      </c>
      <c r="P20" s="80">
        <f>IF(VLOOKUP($F20,PAY!$A$11:$AE$349,18,FALSE)="-",#N/A,VLOOKUP($F20,PAY!$A$11:$AE$349,18,FALSE))</f>
        <v>462.3</v>
      </c>
      <c r="Q20" s="80">
        <f>IF(VLOOKUP($F20,PAY!$A$11:$AE$349,20,FALSE)="-",#N/A,VLOOKUP($F20,PAY!$A$11:$AE$349,20,FALSE))</f>
        <v>479.1</v>
      </c>
      <c r="R20" s="80">
        <f>IF(VLOOKUP($F20,PAY!$A$11:$AE$349,22,FALSE)="-",#N/A,VLOOKUP($F20,PAY!$A$11:$AE$349,22,FALSE))</f>
        <v>502.2</v>
      </c>
      <c r="S20" s="80">
        <f>IF(VLOOKUP($F20,PAY!$A$11:$AE$349,24,FALSE)="-",#N/A,VLOOKUP($F20,PAY!$A$11:$AE$349,24,FALSE))</f>
        <v>519.20000000000005</v>
      </c>
      <c r="T20" s="80">
        <f>IF(VLOOKUP($F20,PAY!$A$11:$AE$349,26,FALSE)="-",#N/A,VLOOKUP($F20,PAY!$A$11:$AE$349,26,FALSE))</f>
        <v>570.20000000000005</v>
      </c>
      <c r="U20" s="80">
        <f>IF(VLOOKUP($F20,PAY!$A$11:$AE$349,28,FALSE)="-",#N/A,VLOOKUP($F20,PAY!$A$11:$AE$349,28,FALSE))</f>
        <v>549.70000000000005</v>
      </c>
      <c r="V20" s="80">
        <f>IF(VLOOKUP($F20,PAY!$A$11:$AE$349,30,FALSE)="-",#N/A,VLOOKUP($F20,PAY!$A$11:$AE$349,30,FALSE))</f>
        <v>582</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South Somerset to Rural as a Region</v>
      </c>
      <c r="G23" s="102"/>
      <c r="H23" s="103"/>
      <c r="I23" s="74">
        <f>100*((I20-I21)/I21)</f>
        <v>-2.2846601805510005</v>
      </c>
      <c r="J23" s="74">
        <f t="shared" ref="J23:V23" si="2">100*((J20-J21)/J21)</f>
        <v>-0.37191737712422041</v>
      </c>
      <c r="K23" s="74">
        <f t="shared" si="2"/>
        <v>-0.4714569403602985</v>
      </c>
      <c r="L23" s="74">
        <f t="shared" si="2"/>
        <v>4.0711653408835762</v>
      </c>
      <c r="M23" s="74">
        <f t="shared" si="2"/>
        <v>5.3503205965932707</v>
      </c>
      <c r="N23" s="74">
        <f t="shared" si="2"/>
        <v>0.76167103026460237</v>
      </c>
      <c r="O23" s="74">
        <f t="shared" si="2"/>
        <v>1.889851425252866</v>
      </c>
      <c r="P23" s="74">
        <f t="shared" si="2"/>
        <v>-2.63710014955653</v>
      </c>
      <c r="Q23" s="74">
        <f t="shared" si="2"/>
        <v>-2.1210734152074977</v>
      </c>
      <c r="R23" s="74">
        <f t="shared" si="2"/>
        <v>-0.36840320940216287</v>
      </c>
      <c r="S23" s="74">
        <f t="shared" si="2"/>
        <v>0.92810119740465336</v>
      </c>
      <c r="T23" s="74">
        <f t="shared" si="2"/>
        <v>6.8392864711012953</v>
      </c>
      <c r="U23" s="74">
        <f t="shared" si="2"/>
        <v>3.5122626313043566</v>
      </c>
      <c r="V23" s="74">
        <f t="shared" si="2"/>
        <v>3.1449978754342212</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Somerset</v>
      </c>
      <c r="G28" s="88"/>
      <c r="H28" s="89"/>
      <c r="I28" s="76">
        <f>VLOOKUP($F28,EMPLOYMENT!$A$6:$BW$345,6,FALSE)</f>
        <v>77.2</v>
      </c>
      <c r="J28" s="77">
        <f>VLOOKUP($F28,EMPLOYMENT!$A$6:$BW$345,10,FALSE)</f>
        <v>72.400000000000006</v>
      </c>
      <c r="K28" s="77">
        <f>VLOOKUP($F28,EMPLOYMENT!$A$6:$BW$345,14,FALSE)</f>
        <v>74.8</v>
      </c>
      <c r="L28" s="77">
        <f>VLOOKUP($F28,EMPLOYMENT!$A$6:$BW$345,18,FALSE)</f>
        <v>78.3</v>
      </c>
      <c r="M28" s="77">
        <f>VLOOKUP($F28,EMPLOYMENT!$A$6:$BW$345,22,FALSE)</f>
        <v>82.3</v>
      </c>
      <c r="N28" s="77">
        <f>VLOOKUP($F28,EMPLOYMENT!$A$6:$BW$345,26,FALSE)</f>
        <v>75.8</v>
      </c>
      <c r="O28" s="77">
        <f>VLOOKUP($F28,EMPLOYMENT!$A$6:$BW$345,30,FALSE)</f>
        <v>76.8</v>
      </c>
      <c r="P28" s="77">
        <f>VLOOKUP($F28,EMPLOYMENT!$A$6:$BW$345,34,FALSE)</f>
        <v>74.8</v>
      </c>
      <c r="Q28" s="77">
        <f>VLOOKUP($F28,EMPLOYMENT!$A$6:$BW$345,38,FALSE)</f>
        <v>73.400000000000006</v>
      </c>
      <c r="R28" s="77">
        <f>VLOOKUP($F28,EMPLOYMENT!$A$6:$BW$345,42,FALSE)</f>
        <v>79</v>
      </c>
      <c r="S28" s="77">
        <f>VLOOKUP($F28,EMPLOYMENT!$A$6:$BW$345,46,FALSE)</f>
        <v>76.599999999999994</v>
      </c>
      <c r="T28" s="77">
        <f>VLOOKUP($F28,EMPLOYMENT!$A$6:$BW$345,50,FALSE)</f>
        <v>80.599999999999994</v>
      </c>
      <c r="U28" s="77">
        <f>VLOOKUP($F28,EMPLOYMENT!$A$6:$BW$345,54,FALSE)</f>
        <v>76.900000000000006</v>
      </c>
      <c r="V28" s="77">
        <f>VLOOKUP($F28,EMPLOYMENT!$A$6:$BW$345,58,FALSE)</f>
        <v>77.900000000000006</v>
      </c>
      <c r="W28" s="77">
        <f>VLOOKUP($F28,EMPLOYMENT!$A$6:$BW$345,62,FALSE)</f>
        <v>82.9</v>
      </c>
      <c r="X28" s="77">
        <f>VLOOKUP($F28,EMPLOYMENT!$A$6:$BW$345,66,FALSE)</f>
        <v>80.599999999999994</v>
      </c>
      <c r="Y28" s="77">
        <f>VLOOKUP($F28,EMPLOYMENT!$A$6:$BW$345,70,FALSE)</f>
        <v>75.8</v>
      </c>
      <c r="Z28" s="77">
        <f>VLOOKUP($F28,EMPLOYMENT!$A$6:$BW$345,74,FALSE)</f>
        <v>72</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South Somerset to Rural as a Region</v>
      </c>
      <c r="G31" s="102"/>
      <c r="H31" s="103"/>
      <c r="I31" s="74">
        <f>(I28-I29)</f>
        <v>1.0886580805982646</v>
      </c>
      <c r="J31" s="74">
        <f t="shared" ref="J31:Z31" si="4">(J28-J29)</f>
        <v>-3.9129754666829513</v>
      </c>
      <c r="K31" s="74">
        <f t="shared" si="4"/>
        <v>-1.073188899486766</v>
      </c>
      <c r="L31" s="74">
        <f t="shared" si="4"/>
        <v>2.6595316973721594</v>
      </c>
      <c r="M31" s="74">
        <f t="shared" si="4"/>
        <v>6.5644756266682549</v>
      </c>
      <c r="N31" s="74">
        <f t="shared" si="4"/>
        <v>1.2904601571268159</v>
      </c>
      <c r="O31" s="74">
        <f t="shared" si="4"/>
        <v>3.2528668610301281</v>
      </c>
      <c r="P31" s="74">
        <f t="shared" si="4"/>
        <v>1.0657045967223837</v>
      </c>
      <c r="Q31" s="74">
        <f t="shared" si="4"/>
        <v>-0.63315747546256773</v>
      </c>
      <c r="R31" s="74">
        <f t="shared" si="4"/>
        <v>4.2555250700997931</v>
      </c>
      <c r="S31" s="74">
        <f t="shared" si="4"/>
        <v>0.4911396599243858</v>
      </c>
      <c r="T31" s="74">
        <f t="shared" si="4"/>
        <v>3.409468024390975</v>
      </c>
      <c r="U31" s="74">
        <f t="shared" si="4"/>
        <v>-7.1632481708036266E-2</v>
      </c>
      <c r="V31" s="74">
        <f t="shared" si="4"/>
        <v>-0.13278688524589199</v>
      </c>
      <c r="W31" s="74">
        <f t="shared" si="4"/>
        <v>4.8518431065858607</v>
      </c>
      <c r="X31" s="74">
        <f t="shared" si="4"/>
        <v>2.0087006210432889</v>
      </c>
      <c r="Y31" s="74">
        <f t="shared" si="4"/>
        <v>-1.2143462961292073</v>
      </c>
      <c r="Z31" s="74">
        <f t="shared" si="4"/>
        <v>-4.1557580778790424</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South Somerset</v>
      </c>
      <c r="G36" s="88" t="str">
        <f>IFERROR(VLOOKUP(F36,GDHI!B338:C574,2,FALSE),VLOOKUP(F36,GDHI!C3:C336,1,FALSE))</f>
        <v>South Somerset</v>
      </c>
      <c r="H36" s="89" t="str">
        <f>IF(F36=G36,"",G36)</f>
        <v/>
      </c>
      <c r="I36" s="83">
        <f>IFERROR(VLOOKUP($F36,GDHI!$B$338:$U$574,GDHI!G$578,FALSE),VLOOKUP($F36,GDHI!$C$3:$U$336,GDHI!F$578,FALSE))</f>
        <v>13928</v>
      </c>
      <c r="J36" s="84">
        <f>IFERROR(VLOOKUP($F36,GDHI!$B$338:$U$574,GDHI!H$578,FALSE),VLOOKUP($F36,GDHI!$C$3:$U$336,GDHI!G$578,FALSE))</f>
        <v>14368</v>
      </c>
      <c r="K36" s="84">
        <f>IFERROR(VLOOKUP($F36,GDHI!$B$338:$U$574,GDHI!I$578,FALSE),VLOOKUP($F36,GDHI!$C$3:$U$336,GDHI!H$578,FALSE))</f>
        <v>15191</v>
      </c>
      <c r="L36" s="84">
        <f>IFERROR(VLOOKUP($F36,GDHI!$B$338:$U$574,GDHI!J$578,FALSE),VLOOKUP($F36,GDHI!$C$3:$U$336,GDHI!I$578,FALSE))</f>
        <v>15741</v>
      </c>
      <c r="M36" s="84">
        <f>IFERROR(VLOOKUP($F36,GDHI!$B$338:$U$574,GDHI!K$578,FALSE),VLOOKUP($F36,GDHI!$C$3:$U$336,GDHI!J$578,FALSE))</f>
        <v>16340</v>
      </c>
      <c r="N36" s="84">
        <f>IFERROR(VLOOKUP($F36,GDHI!$B$338:$U$574,GDHI!L$578,FALSE),VLOOKUP($F36,GDHI!$C$3:$U$336,GDHI!K$578,FALSE))</f>
        <v>16191</v>
      </c>
      <c r="O36" s="84">
        <f>IFERROR(VLOOKUP($F36,GDHI!$B$338:$U$574,GDHI!M$578,FALSE),VLOOKUP($F36,GDHI!$C$3:$U$336,GDHI!L$578,FALSE))</f>
        <v>16782</v>
      </c>
      <c r="P36" s="84">
        <f>IFERROR(VLOOKUP($F36,GDHI!$B$338:$U$574,GDHI!N$578,FALSE),VLOOKUP($F36,GDHI!$C$3:$U$336,GDHI!M$578,FALSE))</f>
        <v>17116</v>
      </c>
      <c r="Q36" s="84">
        <f>IFERROR(VLOOKUP($F36,GDHI!$B$338:$U$574,GDHI!O$578,FALSE),VLOOKUP($F36,GDHI!$C$3:$U$336,GDHI!N$578,FALSE))</f>
        <v>17360</v>
      </c>
      <c r="R36" s="84">
        <f>IFERROR(VLOOKUP($F36,GDHI!$B$338:$U$574,GDHI!P$578,FALSE),VLOOKUP($F36,GDHI!$C$3:$U$336,GDHI!O$578,FALSE))</f>
        <v>17695</v>
      </c>
      <c r="S36" s="84">
        <f>IFERROR(VLOOKUP($F36,GDHI!$B$338:$U$574,GDHI!Q$578,FALSE),VLOOKUP($F36,GDHI!$C$3:$U$336,GDHI!P$578,FALSE))</f>
        <v>18442</v>
      </c>
      <c r="T36" s="84">
        <f>IFERROR(VLOOKUP($F36,GDHI!$B$338:$U$574,GDHI!R$578,FALSE),VLOOKUP($F36,GDHI!$C$3:$U$336,GDHI!Q$578,FALSE))</f>
        <v>19175</v>
      </c>
      <c r="U36" s="84">
        <f>IFERROR(VLOOKUP($F36,GDHI!$B$338:$U$574,GDHI!S$578,FALSE),VLOOKUP($F36,GDHI!$C$3:$U$336,GDHI!R$578,FALSE))</f>
        <v>19212</v>
      </c>
      <c r="V36" s="84">
        <f>IFERROR(VLOOKUP($F36,GDHI!$B$338:$U$574,GDHI!T$578,FALSE),VLOOKUP($F36,GDHI!$C$3:$U$336,GDHI!S$578,FALSE))</f>
        <v>19651</v>
      </c>
      <c r="W36" s="84">
        <f>IFERROR(VLOOKUP($F36,GDHI!$B$338:$U$574,GDHI!U$578,FALSE),VLOOKUP($F36,GDHI!$C$3:$U$336,GDHI!T$578,FALSE))</f>
        <v>20682</v>
      </c>
      <c r="X36" s="84">
        <f>IFERROR(VLOOKUP($F36,GDHI!$B$338:$U$574,GDHI!V$578,FALSE),VLOOKUP($F36,GDHI!$C$3:$U$336,GDHI!U$578,FALSE))</f>
        <v>20810</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South Somerset to Rural as a Region</v>
      </c>
      <c r="G39" s="102"/>
      <c r="H39" s="103"/>
      <c r="I39" s="74">
        <f>100*((I36-I37)/I37)</f>
        <v>-5.3128930283150346</v>
      </c>
      <c r="J39" s="74">
        <f t="shared" ref="J39:X39" si="6">100*((J36-J37)/J37)</f>
        <v>-6.3451699838827507</v>
      </c>
      <c r="K39" s="74">
        <f t="shared" si="6"/>
        <v>-4.6041845621101736</v>
      </c>
      <c r="L39" s="74">
        <f t="shared" si="6"/>
        <v>-4.9925739746372733</v>
      </c>
      <c r="M39" s="74">
        <f t="shared" si="6"/>
        <v>-4.2393096322322226</v>
      </c>
      <c r="N39" s="74">
        <f t="shared" si="6"/>
        <v>-6.3720694889526124</v>
      </c>
      <c r="O39" s="74">
        <f t="shared" si="6"/>
        <v>-4.1462195673385915</v>
      </c>
      <c r="P39" s="74">
        <f t="shared" si="6"/>
        <v>-3.8429538711774409</v>
      </c>
      <c r="Q39" s="74">
        <f t="shared" si="6"/>
        <v>-5.479350831683699</v>
      </c>
      <c r="R39" s="74">
        <f t="shared" si="6"/>
        <v>-6.2463928911809035</v>
      </c>
      <c r="S39" s="74">
        <f t="shared" si="6"/>
        <v>-4.9187149804175716</v>
      </c>
      <c r="T39" s="74">
        <f t="shared" si="6"/>
        <v>-6.2730215036118597</v>
      </c>
      <c r="U39" s="74">
        <f t="shared" si="6"/>
        <v>-6.8504789632506311</v>
      </c>
      <c r="V39" s="74">
        <f t="shared" si="6"/>
        <v>-6.2697710125654353</v>
      </c>
      <c r="W39" s="74">
        <f t="shared" si="6"/>
        <v>-5.3103528716674795</v>
      </c>
      <c r="X39" s="74">
        <f t="shared" si="6"/>
        <v>-6.5354699933859921</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South Somerset</v>
      </c>
      <c r="G44" s="88"/>
      <c r="H44" s="89"/>
      <c r="I44" s="76">
        <f>VLOOKUP($F44,'LOW PAID'!$A$9:$N$444,6,FALSE)</f>
        <v>23.2</v>
      </c>
      <c r="J44" s="77">
        <f>VLOOKUP($F44,'LOW PAID'!$P$9:$W$444,6,FALSE)</f>
        <v>22.1</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South Somerset to Rural as a Region</v>
      </c>
      <c r="G47" s="102"/>
      <c r="H47" s="103"/>
      <c r="I47" s="74">
        <f>(I44-I45)</f>
        <v>-1.9938746782131176</v>
      </c>
      <c r="J47" s="74">
        <f>(J44-J45)</f>
        <v>-3.5861165090300524</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South Somerset</v>
      </c>
      <c r="G52" s="88"/>
      <c r="H52" s="89"/>
      <c r="I52" s="76">
        <f>VLOOKUP($F52,INACTIVITY!$A$6:$BW$345,6,FALSE)</f>
        <v>20.100000000000001</v>
      </c>
      <c r="J52" s="77">
        <f>VLOOKUP($F52,INACTIVITY!$A$6:$BW$345,10,FALSE)</f>
        <v>23.8</v>
      </c>
      <c r="K52" s="77">
        <f>VLOOKUP($F52,INACTIVITY!$A$6:$BW$345,14,FALSE)</f>
        <v>21.3</v>
      </c>
      <c r="L52" s="77">
        <f>VLOOKUP($F52,INACTIVITY!$A$6:$BW$345,18,FALSE)</f>
        <v>18.899999999999999</v>
      </c>
      <c r="M52" s="77">
        <f>VLOOKUP($F52,INACTIVITY!$A$6:$BW$345,22,FALSE)</f>
        <v>15.8</v>
      </c>
      <c r="N52" s="77">
        <f>VLOOKUP($F52,INACTIVITY!$A$6:$BW$345,26,FALSE)</f>
        <v>19.600000000000001</v>
      </c>
      <c r="O52" s="77">
        <f>VLOOKUP($F52,INACTIVITY!$A$6:$BW$345,30,FALSE)</f>
        <v>16.8</v>
      </c>
      <c r="P52" s="77">
        <f>VLOOKUP($F52,INACTIVITY!$A$6:$BW$345,34,FALSE)</f>
        <v>22.1</v>
      </c>
      <c r="Q52" s="77">
        <f>VLOOKUP($F52,INACTIVITY!$A$6:$BW$345,38,FALSE)</f>
        <v>23.1</v>
      </c>
      <c r="R52" s="77">
        <f>VLOOKUP($F52,INACTIVITY!$A$6:$BW$345,42,FALSE)</f>
        <v>18.600000000000001</v>
      </c>
      <c r="S52" s="77">
        <f>VLOOKUP($F52,INACTIVITY!$A$6:$BW$345,46,FALSE)</f>
        <v>19.5</v>
      </c>
      <c r="T52" s="77">
        <f>VLOOKUP($F52,INACTIVITY!$A$6:$BW$345,50,FALSE)</f>
        <v>16.3</v>
      </c>
      <c r="U52" s="77">
        <f>VLOOKUP($F52,INACTIVITY!$A$6:$BW$345,54,FALSE)</f>
        <v>20.5</v>
      </c>
      <c r="V52" s="77">
        <f>VLOOKUP($F52,INACTIVITY!$A$6:$BW$345,58,FALSE)</f>
        <v>20.3</v>
      </c>
      <c r="W52" s="77">
        <f>VLOOKUP($F52,INACTIVITY!$A$6:$BW$345,62,FALSE)</f>
        <v>16.100000000000001</v>
      </c>
      <c r="X52" s="77">
        <f>VLOOKUP($F52,INACTIVITY!$A$6:$BW$345,66,FALSE)</f>
        <v>17.899999999999999</v>
      </c>
      <c r="Y52" s="77">
        <f>VLOOKUP($F52,INACTIVITY!$A$6:$BW$345,70,FALSE)</f>
        <v>23.8</v>
      </c>
      <c r="Z52" s="77">
        <f>VLOOKUP($F52,INACTIVITY!$A$6:$BW$345,74,FALSE)</f>
        <v>26.2</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South Somerset to Rural as a Region</v>
      </c>
      <c r="G55" s="102"/>
      <c r="H55" s="103"/>
      <c r="I55" s="74">
        <f>(I52-I53)</f>
        <v>-1.2956445716102358</v>
      </c>
      <c r="J55" s="74">
        <f t="shared" ref="J55:Z55" si="10">(J52-J53)</f>
        <v>2.7914772727272741</v>
      </c>
      <c r="K55" s="74">
        <f t="shared" si="10"/>
        <v>0.43753460654122378</v>
      </c>
      <c r="L55" s="74">
        <f t="shared" si="10"/>
        <v>-2.4140653315366407</v>
      </c>
      <c r="M55" s="74">
        <f t="shared" si="10"/>
        <v>-5.0350023108920041</v>
      </c>
      <c r="N55" s="74">
        <f t="shared" si="10"/>
        <v>-1.333143757920439</v>
      </c>
      <c r="O55" s="74">
        <f t="shared" si="10"/>
        <v>-4.8919371275051731</v>
      </c>
      <c r="P55" s="74">
        <f t="shared" si="10"/>
        <v>0.60575421924655259</v>
      </c>
      <c r="Q55" s="74">
        <f t="shared" si="10"/>
        <v>1.9174512055109076</v>
      </c>
      <c r="R55" s="74">
        <f t="shared" si="10"/>
        <v>-2.1745930974387697</v>
      </c>
      <c r="S55" s="74">
        <f t="shared" si="10"/>
        <v>-0.77321045597240001</v>
      </c>
      <c r="T55" s="74">
        <f t="shared" si="10"/>
        <v>-3.3961946834069572</v>
      </c>
      <c r="U55" s="74">
        <f t="shared" si="10"/>
        <v>0.64757065293052918</v>
      </c>
      <c r="V55" s="74">
        <f t="shared" si="10"/>
        <v>1.0467226657196242</v>
      </c>
      <c r="W55" s="74">
        <f t="shared" si="10"/>
        <v>-3.0769560091828474</v>
      </c>
      <c r="X55" s="74">
        <f t="shared" si="10"/>
        <v>-0.95206494936493158</v>
      </c>
      <c r="Y55" s="74">
        <f t="shared" si="10"/>
        <v>4.0274172781285387</v>
      </c>
      <c r="Z55" s="74">
        <f t="shared" si="10"/>
        <v>5.1148202243699288</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Somerset</v>
      </c>
      <c r="G60" s="88"/>
      <c r="H60" s="89"/>
      <c r="I60" s="76">
        <f>VLOOKUP($F60,DISABILITY!$A$718:$I$1052,DISABILITY!B$1053,FALSE)</f>
        <v>35.100000000000009</v>
      </c>
      <c r="J60" s="77">
        <f>VLOOKUP($F60,DISABILITY!$A$718:$I$1052,DISABILITY!C$1053,FALSE)</f>
        <v>30.799999999999997</v>
      </c>
      <c r="K60" s="77">
        <f>VLOOKUP($F60,DISABILITY!$A$718:$I$1052,DISABILITY!D$1053,FALSE)</f>
        <v>28.500000000000007</v>
      </c>
      <c r="L60" s="77">
        <f>VLOOKUP($F60,DISABILITY!$A$718:$I$1052,DISABILITY!E$1053,FALSE)</f>
        <v>6.1000000000000085</v>
      </c>
      <c r="M60" s="77">
        <f>VLOOKUP($F60,DISABILITY!$A$718:$I$1052,DISABILITY!F$1053,FALSE)</f>
        <v>24.699999999999996</v>
      </c>
      <c r="N60" s="77">
        <f>VLOOKUP($F60,DISABILITY!$A$718:$I$1052,DISABILITY!G$1053,FALSE)</f>
        <v>33.5</v>
      </c>
      <c r="O60" s="77">
        <f>VLOOKUP($F60,DISABILITY!$A$718:$I$1052,DISABILITY!H$1053,FALSE)</f>
        <v>31.700000000000003</v>
      </c>
      <c r="P60" s="77">
        <f>VLOOKUP($F60,DISABILITY!$A$718:$I$1052,DISABILITY!I$1053,FALSE)</f>
        <v>26.999999999999993</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South Somerset to Rural as a Region</v>
      </c>
      <c r="G63" s="102"/>
      <c r="H63" s="103"/>
      <c r="I63" s="74">
        <f>(I60-I61)</f>
        <v>7.6798434593527602</v>
      </c>
      <c r="J63" s="74">
        <f t="shared" ref="J63:P63" si="12">(J60-J61)</f>
        <v>3.4809555929488099</v>
      </c>
      <c r="K63" s="74">
        <f t="shared" si="12"/>
        <v>0.38087163850180161</v>
      </c>
      <c r="L63" s="74">
        <f t="shared" si="12"/>
        <v>-19.890934538996667</v>
      </c>
      <c r="M63" s="74">
        <f t="shared" si="12"/>
        <v>-0.77522581866612228</v>
      </c>
      <c r="N63" s="74">
        <f t="shared" si="12"/>
        <v>7.9687523145580172</v>
      </c>
      <c r="O63" s="74">
        <f t="shared" si="12"/>
        <v>7.9027777120030578</v>
      </c>
      <c r="P63" s="74">
        <f t="shared" si="12"/>
        <v>1.6458220696578181</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Somerset</v>
      </c>
      <c r="G68" s="88"/>
      <c r="H68" s="89"/>
      <c r="I68" s="76">
        <f>VLOOKUP($F68,'WORKLESS HOUSEHOLDS'!$DW$4:$EC$397,7,FALSE)</f>
        <v>9.3998901625169768</v>
      </c>
      <c r="J68" s="77">
        <f>VLOOKUP($F68,'WORKLESS HOUSEHOLDS'!$DN$4:$DT$397,7,FALSE)</f>
        <v>5.3888301397684737</v>
      </c>
      <c r="K68" s="77">
        <f>VLOOKUP($F68,'WORKLESS HOUSEHOLDS'!$DE$4:$DK$397,7,FALSE)</f>
        <v>3.7974471513263768</v>
      </c>
      <c r="L68" s="77">
        <f>VLOOKUP($F68,'WORKLESS HOUSEHOLDS'!$CV$4:$DB$397,7,FALSE)</f>
        <v>7.2692793333421672</v>
      </c>
      <c r="M68" s="77">
        <f>VLOOKUP($F68,'WORKLESS HOUSEHOLDS'!$CM$4:$CS$397,7,FALSE)</f>
        <v>12.656638688420593</v>
      </c>
      <c r="N68" s="77">
        <f>VLOOKUP($F68,'WORKLESS HOUSEHOLDS'!$CD$4:$CJ$397,7,FALSE)</f>
        <v>23.205106237148733</v>
      </c>
      <c r="O68" s="77">
        <f>VLOOKUP($F68,'WORKLESS HOUSEHOLDS'!$BU$4:$CA$397,7,FALSE)</f>
        <v>18.088069251035002</v>
      </c>
      <c r="P68" s="77">
        <f>VLOOKUP($F68,'WORKLESS HOUSEHOLDS'!$BL$4:$BR$397,7,FALSE)</f>
        <v>10.99039638103007</v>
      </c>
      <c r="Q68" s="77">
        <f>VLOOKUP($F68,'WORKLESS HOUSEHOLDS'!$BC$4:$BI$397,7,FALSE)</f>
        <v>11.639271434917815</v>
      </c>
      <c r="R68" s="77" t="str">
        <f>VLOOKUP($F68,'WORKLESS HOUSEHOLDS'!$AT$4:$AZ$397,7,FALSE)</f>
        <v>#</v>
      </c>
      <c r="S68" s="77">
        <f>VLOOKUP($F68,'WORKLESS HOUSEHOLDS'!$AK$4:$AQ$397,7,FALSE)</f>
        <v>13.443132155885435</v>
      </c>
      <c r="T68" s="77">
        <f>VLOOKUP($F68,'WORKLESS HOUSEHOLDS'!$AB$4:$AH$397,7,FALSE)</f>
        <v>12.885682994070773</v>
      </c>
      <c r="U68" s="77">
        <f>VLOOKUP($F68,'WORKLESS HOUSEHOLDS'!$S$4:$Y$397,7,FALSE)</f>
        <v>11.07383529274483</v>
      </c>
      <c r="V68" s="77">
        <f>VLOOKUP($F68,'WORKLESS HOUSEHOLDS'!$J$4:$P$397,7,FALSE)</f>
        <v>14.047473779017402</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South Somerset to Rural as a Region</v>
      </c>
      <c r="G71" s="102"/>
      <c r="H71" s="103"/>
      <c r="I71" s="74">
        <f>(I68-I69)</f>
        <v>-0.61205570006971399</v>
      </c>
      <c r="J71" s="74">
        <f t="shared" ref="J71:W71" si="14">(J68-J69)</f>
        <v>-5.5223246977065505</v>
      </c>
      <c r="K71" s="74">
        <f t="shared" si="14"/>
        <v>-6.4957985778294667</v>
      </c>
      <c r="L71" s="74">
        <f t="shared" si="14"/>
        <v>-3.6967273279875652</v>
      </c>
      <c r="M71" s="74">
        <f t="shared" si="14"/>
        <v>0.96285950723211933</v>
      </c>
      <c r="N71" s="74">
        <f t="shared" si="14"/>
        <v>11.304006557893352</v>
      </c>
      <c r="O71" s="74">
        <f t="shared" si="14"/>
        <v>7.0528160032924898</v>
      </c>
      <c r="P71" s="74">
        <f t="shared" si="14"/>
        <v>1.2988984952622324</v>
      </c>
      <c r="Q71" s="74">
        <f t="shared" si="14"/>
        <v>0.83409317451940268</v>
      </c>
      <c r="R71" s="74" t="e">
        <f t="shared" si="14"/>
        <v>#VALUE!</v>
      </c>
      <c r="S71" s="74">
        <f t="shared" si="14"/>
        <v>3.2903873277365534</v>
      </c>
      <c r="T71" s="74">
        <f t="shared" si="14"/>
        <v>2.9820147994380228</v>
      </c>
      <c r="U71" s="74">
        <f t="shared" si="14"/>
        <v>0.3117851280653543</v>
      </c>
      <c r="V71" s="74">
        <f t="shared" si="14"/>
        <v>4.1086053024777538</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South Somerset</v>
      </c>
      <c r="G76" s="88"/>
      <c r="H76" s="89"/>
      <c r="I76" s="76">
        <f>VLOOKUP($F76,'SKILLED EMPLOYMENT'!$A$1506:$BW$1841,6,FALSE)</f>
        <v>51.2</v>
      </c>
      <c r="J76" s="77">
        <f>VLOOKUP($F76,'SKILLED EMPLOYMENT'!$A$1506:$BW$1841,10,FALSE)</f>
        <v>52.8</v>
      </c>
      <c r="K76" s="77">
        <f>VLOOKUP($F76,'SKILLED EMPLOYMENT'!$A$1506:$BW$1841,14,FALSE)</f>
        <v>51.5</v>
      </c>
      <c r="L76" s="77">
        <f>VLOOKUP($F76,'SKILLED EMPLOYMENT'!$A$1506:$BW$1841,18,FALSE)</f>
        <v>52</v>
      </c>
      <c r="M76" s="77">
        <f>VLOOKUP($F76,'SKILLED EMPLOYMENT'!$A$1506:$BW$1841,22,FALSE)</f>
        <v>48.7</v>
      </c>
      <c r="N76" s="77">
        <f>VLOOKUP($F76,'SKILLED EMPLOYMENT'!$A$1506:$BW$1841,26,FALSE)</f>
        <v>54.5</v>
      </c>
      <c r="O76" s="77">
        <f>VLOOKUP($F76,'SKILLED EMPLOYMENT'!$A$1506:$BW$1841,30,FALSE)</f>
        <v>55.5</v>
      </c>
      <c r="P76" s="77">
        <f>VLOOKUP($F76,'SKILLED EMPLOYMENT'!$A$1506:$BW$1841,34,FALSE)</f>
        <v>51.1</v>
      </c>
      <c r="Q76" s="77">
        <f>VLOOKUP($F76,'SKILLED EMPLOYMENT'!$A$1506:$BW$1841,38,FALSE)</f>
        <v>52.6</v>
      </c>
      <c r="R76" s="77">
        <f>VLOOKUP($F76,'SKILLED EMPLOYMENT'!$A$1506:$BW$1841,42,FALSE)</f>
        <v>52.4</v>
      </c>
      <c r="S76" s="77">
        <f>VLOOKUP($F76,'SKILLED EMPLOYMENT'!$A$1506:$BW$1841,46,FALSE)</f>
        <v>46.6</v>
      </c>
      <c r="T76" s="77">
        <f>VLOOKUP($F76,'SKILLED EMPLOYMENT'!$A$1506:$BW$1841,50,FALSE)</f>
        <v>52.9</v>
      </c>
      <c r="U76" s="77">
        <f>VLOOKUP($F76,'SKILLED EMPLOYMENT'!$A$1506:$BW$1841,54,FALSE)</f>
        <v>52.499999999999993</v>
      </c>
      <c r="V76" s="77">
        <f>VLOOKUP($F76,'SKILLED EMPLOYMENT'!$A$1506:$BW$1841,58,FALSE)</f>
        <v>57.800000000000004</v>
      </c>
      <c r="W76" s="77">
        <f>VLOOKUP($F76,'SKILLED EMPLOYMENT'!$A$1506:$BW$1841,62,FALSE)</f>
        <v>57.499999999999993</v>
      </c>
      <c r="X76" s="77">
        <f>VLOOKUP($F76,'SKILLED EMPLOYMENT'!$A$1506:$BW$1841,66,FALSE)</f>
        <v>54.9</v>
      </c>
      <c r="Y76" s="77">
        <f>VLOOKUP($F76,'SKILLED EMPLOYMENT'!$A$1506:$BW$1841,70,FALSE)</f>
        <v>47.8</v>
      </c>
      <c r="Z76" s="77">
        <f>VLOOKUP($F76,'SKILLED EMPLOYMENT'!$A$1506:$BW$1841,74,FALSE)</f>
        <v>59.2</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South Somerset to Rural as a Region</v>
      </c>
      <c r="G79" s="102"/>
      <c r="H79" s="103"/>
      <c r="I79" s="74">
        <f>(I76-I77)</f>
        <v>-1.5</v>
      </c>
      <c r="J79" s="74">
        <f t="shared" ref="J79:Z79" si="17">(J76-J77)</f>
        <v>-0.10000000000000142</v>
      </c>
      <c r="K79" s="74">
        <f t="shared" si="17"/>
        <v>-2</v>
      </c>
      <c r="L79" s="74">
        <f t="shared" si="17"/>
        <v>-2</v>
      </c>
      <c r="M79" s="74">
        <f t="shared" si="17"/>
        <v>-5.3999999999999986</v>
      </c>
      <c r="N79" s="74">
        <f t="shared" si="17"/>
        <v>0.10000000000000142</v>
      </c>
      <c r="O79" s="74">
        <f t="shared" si="17"/>
        <v>0.10000000000000142</v>
      </c>
      <c r="P79" s="74">
        <f t="shared" si="17"/>
        <v>-4.5</v>
      </c>
      <c r="Q79" s="74">
        <f t="shared" si="17"/>
        <v>-2.7999999999999972</v>
      </c>
      <c r="R79" s="74">
        <f t="shared" si="17"/>
        <v>-3.8000000000000043</v>
      </c>
      <c r="S79" s="74">
        <f t="shared" si="17"/>
        <v>-9.6000000000000014</v>
      </c>
      <c r="T79" s="74">
        <f t="shared" si="17"/>
        <v>-3.8999999999999986</v>
      </c>
      <c r="U79" s="74">
        <f t="shared" si="17"/>
        <v>-4.1000000000000085</v>
      </c>
      <c r="V79" s="74">
        <f t="shared" si="17"/>
        <v>0.70000000000000284</v>
      </c>
      <c r="W79" s="74">
        <f t="shared" si="17"/>
        <v>-0.30000000000000426</v>
      </c>
      <c r="X79" s="74">
        <f t="shared" si="17"/>
        <v>-3.8999999999999986</v>
      </c>
      <c r="Y79" s="74">
        <f t="shared" si="17"/>
        <v>-10.900000000000006</v>
      </c>
      <c r="Z79" s="74">
        <f t="shared" si="17"/>
        <v>0.80000000000000426</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SVdo0U6hZKDQerxFMY3TqZUsq+9CPDccuijMjelsiEuQzTJWzDJPe7jvjtedT4ib+oeMFbJg5jsdlwkk9ls9EA==" saltValue="/gGUkVD1fTX23q0jG3cv7A=="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2022-08-02T13:22:46Z</dcterms:modified>
</cp:coreProperties>
</file>