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62595B87-203F-42C2-9CEE-B79EB2B5F043}" xr6:coauthVersionLast="47" xr6:coauthVersionMax="47" xr10:uidLastSave="{A8D1D7C4-1331-4470-B6B1-43AFACE2C81B}"/>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<sst xmlns="http://schemas.openxmlformats.org/spreadsheetml/2006/main" count="32859" uniqueCount="1676">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</sst>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Stafford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21.01</c:v>
                </c:pt>
                <c:pt idx="1">
                  <c:v>20.98</c:v>
                </c:pt>
                <c:pt idx="2">
                  <c:v>21.28</c:v>
                </c:pt>
                <c:pt idx="3">
                  <c:v>21.7</c:v>
                </c:pt>
                <c:pt idx="4">
                  <c:v>22.48</c:v>
                </c:pt>
                <c:pt idx="5">
                  <c:v>23.37</c:v>
                </c:pt>
                <c:pt idx="6">
                  <c:v>24.07</c:v>
                </c:pt>
                <c:pt idx="7">
                  <c:v>24.52</c:v>
                </c:pt>
                <c:pt idx="8">
                  <c:v>24.98</c:v>
                </c:pt>
                <c:pt idx="9">
                  <c:v>25.86</c:v>
                </c:pt>
                <c:pt idx="10">
                  <c:v>26.87</c:v>
                </c:pt>
                <c:pt idx="11">
                  <c:v>27.48</c:v>
                </c:pt>
                <c:pt idx="12">
                  <c:v>27.73</c:v>
                </c:pt>
                <c:pt idx="13">
                  <c:v>28</c:v>
                </c:pt>
                <c:pt idx="14">
                  <c:v>28.56</c:v>
                </c:pt>
                <c:pt idx="15">
                  <c:v>29.01</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Stafford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449.6</c:v>
                </c:pt>
                <c:pt idx="1">
                  <c:v>479.1</c:v>
                </c:pt>
                <c:pt idx="2">
                  <c:v>491.9</c:v>
                </c:pt>
                <c:pt idx="3">
                  <c:v>497.7</c:v>
                </c:pt>
                <c:pt idx="4">
                  <c:v>476</c:v>
                </c:pt>
                <c:pt idx="5">
                  <c:v>517.5</c:v>
                </c:pt>
                <c:pt idx="6">
                  <c:v>495.6</c:v>
                </c:pt>
                <c:pt idx="7">
                  <c:v>494</c:v>
                </c:pt>
                <c:pt idx="8">
                  <c:v>514.1</c:v>
                </c:pt>
                <c:pt idx="9">
                  <c:v>520.4</c:v>
                </c:pt>
                <c:pt idx="10">
                  <c:v>543.20000000000005</c:v>
                </c:pt>
                <c:pt idx="11">
                  <c:v>539.20000000000005</c:v>
                </c:pt>
                <c:pt idx="12">
                  <c:v>551.79999999999995</c:v>
                </c:pt>
                <c:pt idx="13">
                  <c:v>578.20000000000005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Stafford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76.900000000000006</c:v>
                </c:pt>
                <c:pt idx="1">
                  <c:v>74.8</c:v>
                </c:pt>
                <c:pt idx="2">
                  <c:v>79</c:v>
                </c:pt>
                <c:pt idx="3">
                  <c:v>80.7</c:v>
                </c:pt>
                <c:pt idx="4">
                  <c:v>75.7</c:v>
                </c:pt>
                <c:pt idx="5">
                  <c:v>69.400000000000006</c:v>
                </c:pt>
                <c:pt idx="6">
                  <c:v>69.2</c:v>
                </c:pt>
                <c:pt idx="7">
                  <c:v>73.8</c:v>
                </c:pt>
                <c:pt idx="8">
                  <c:v>80.3</c:v>
                </c:pt>
                <c:pt idx="9">
                  <c:v>78.400000000000006</c:v>
                </c:pt>
                <c:pt idx="10">
                  <c:v>70.2</c:v>
                </c:pt>
                <c:pt idx="11">
                  <c:v>74.900000000000006</c:v>
                </c:pt>
                <c:pt idx="12">
                  <c:v>74.599999999999994</c:v>
                </c:pt>
                <c:pt idx="13">
                  <c:v>83.9</c:v>
                </c:pt>
                <c:pt idx="14">
                  <c:v>78.900000000000006</c:v>
                </c:pt>
                <c:pt idx="15">
                  <c:v>74.099999999999994</c:v>
                </c:pt>
                <c:pt idx="16">
                  <c:v>75.3</c:v>
                </c:pt>
                <c:pt idx="17">
                  <c:v>79.2</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Stafford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13969</c:v>
                </c:pt>
                <c:pt idx="1">
                  <c:v>14402</c:v>
                </c:pt>
                <c:pt idx="2">
                  <c:v>14983</c:v>
                </c:pt>
                <c:pt idx="3">
                  <c:v>15481</c:v>
                </c:pt>
                <c:pt idx="4">
                  <c:v>16024</c:v>
                </c:pt>
                <c:pt idx="5">
                  <c:v>16043</c:v>
                </c:pt>
                <c:pt idx="6">
                  <c:v>16172</c:v>
                </c:pt>
                <c:pt idx="7">
                  <c:v>16386</c:v>
                </c:pt>
                <c:pt idx="8">
                  <c:v>16798</c:v>
                </c:pt>
                <c:pt idx="9">
                  <c:v>17403</c:v>
                </c:pt>
                <c:pt idx="10">
                  <c:v>17988</c:v>
                </c:pt>
                <c:pt idx="11">
                  <c:v>19103</c:v>
                </c:pt>
                <c:pt idx="12">
                  <c:v>19059</c:v>
                </c:pt>
                <c:pt idx="13">
                  <c:v>19309</c:v>
                </c:pt>
                <c:pt idx="14">
                  <c:v>20095</c:v>
                </c:pt>
                <c:pt idx="15">
                  <c:v>20473</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Stafford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24.3</c:v>
                </c:pt>
                <c:pt idx="1">
                  <c:v>22.4</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Stafford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20.6</c:v>
                </c:pt>
                <c:pt idx="1">
                  <c:v>23.7</c:v>
                </c:pt>
                <c:pt idx="2">
                  <c:v>18.100000000000001</c:v>
                </c:pt>
                <c:pt idx="3">
                  <c:v>17</c:v>
                </c:pt>
                <c:pt idx="4">
                  <c:v>20.3</c:v>
                </c:pt>
                <c:pt idx="5">
                  <c:v>25</c:v>
                </c:pt>
                <c:pt idx="6">
                  <c:v>25.7</c:v>
                </c:pt>
                <c:pt idx="7">
                  <c:v>21.5</c:v>
                </c:pt>
                <c:pt idx="8">
                  <c:v>17.3</c:v>
                </c:pt>
                <c:pt idx="9">
                  <c:v>18.3</c:v>
                </c:pt>
                <c:pt idx="10">
                  <c:v>28.4</c:v>
                </c:pt>
                <c:pt idx="11">
                  <c:v>22.8</c:v>
                </c:pt>
                <c:pt idx="12">
                  <c:v>20.5</c:v>
                </c:pt>
                <c:pt idx="13">
                  <c:v>12.4</c:v>
                </c:pt>
                <c:pt idx="14">
                  <c:v>19.2</c:v>
                </c:pt>
                <c:pt idx="15">
                  <c:v>23.3</c:v>
                </c:pt>
                <c:pt idx="16">
                  <c:v>22</c:v>
                </c:pt>
                <c:pt idx="17">
                  <c:v>19.399999999999999</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Stafford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20.300000000000004</c:v>
                </c:pt>
                <c:pt idx="1">
                  <c:v>24.699999999999996</c:v>
                </c:pt>
                <c:pt idx="2">
                  <c:v>13.999999999999993</c:v>
                </c:pt>
                <c:pt idx="3">
                  <c:v>17.099999999999994</c:v>
                </c:pt>
                <c:pt idx="4">
                  <c:v>24.4</c:v>
                </c:pt>
                <c:pt idx="5">
                  <c:v>25.700000000000003</c:v>
                </c:pt>
                <c:pt idx="6">
                  <c:v>31.9</c:v>
                </c:pt>
                <c:pt idx="7">
                  <c:v>22.4</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Stafford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2.9182147285104874</c:v>
                </c:pt>
                <c:pt idx="1">
                  <c:v>7.9847671020167432</c:v>
                </c:pt>
                <c:pt idx="2">
                  <c:v>17.17545621115222</c:v>
                </c:pt>
                <c:pt idx="3">
                  <c:v>11.811215377349024</c:v>
                </c:pt>
                <c:pt idx="4">
                  <c:v>14.051340021290152</c:v>
                </c:pt>
                <c:pt idx="5">
                  <c:v>7.8037961625747885</c:v>
                </c:pt>
                <c:pt idx="6">
                  <c:v>3.1457228116710874</c:v>
                </c:pt>
                <c:pt idx="7">
                  <c:v>3.8020136590861084</c:v>
                </c:pt>
                <c:pt idx="8">
                  <c:v>5.2012017928384964</c:v>
                </c:pt>
                <c:pt idx="9">
                  <c:v>4.2323651452282158</c:v>
                </c:pt>
                <c:pt idx="10">
                  <c:v>0</c:v>
                </c:pt>
                <c:pt idx="11">
                  <c:v>0</c:v>
                </c:pt>
                <c:pt idx="12">
                  <c:v>0</c:v>
                </c:pt>
                <c:pt idx="13">
                  <c:v>11.300102774922918</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Stafford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56.800000000000004</c:v>
                </c:pt>
                <c:pt idx="1">
                  <c:v>54.5</c:v>
                </c:pt>
                <c:pt idx="2">
                  <c:v>51.8</c:v>
                </c:pt>
                <c:pt idx="3">
                  <c:v>53.099999999999994</c:v>
                </c:pt>
                <c:pt idx="4">
                  <c:v>53.099999999999994</c:v>
                </c:pt>
                <c:pt idx="5">
                  <c:v>53.9</c:v>
                </c:pt>
                <c:pt idx="6">
                  <c:v>53.400000000000006</c:v>
                </c:pt>
                <c:pt idx="7">
                  <c:v>55</c:v>
                </c:pt>
                <c:pt idx="8">
                  <c:v>55.5</c:v>
                </c:pt>
                <c:pt idx="9">
                  <c:v>58.100000000000009</c:v>
                </c:pt>
                <c:pt idx="10">
                  <c:v>62.5</c:v>
                </c:pt>
                <c:pt idx="11">
                  <c:v>56.7</c:v>
                </c:pt>
                <c:pt idx="12">
                  <c:v>55.7</c:v>
                </c:pt>
                <c:pt idx="13">
                  <c:v>54.100000000000009</c:v>
                </c:pt>
                <c:pt idx="14">
                  <c:v>61.400000000000006</c:v>
                </c:pt>
                <c:pt idx="15">
                  <c:v>67.900000000000006</c:v>
                </c:pt>
                <c:pt idx="16">
                  <c:v>70.100000000000009</c:v>
                </c:pt>
                <c:pt idx="17">
                  <c:v>64.900000000000006</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Stafford is consistent with that of the England and rural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Stafford, it is below and dropping further behind that seen in England overall.</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Stafford moves from being above the England average in 2017 to being below it in 2018.</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Stafford's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Stafford has from 2014 to 2021 mostly been below the England and rural situation.</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Stafford has been less stable and has been in the period higher than both England and rural as well as lower than both.</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Stafford has seen a marked increase in the proportion of employed people in skilled employment in the period 2018 to 2021.</a:t>
          </a:r>
          <a:endParaRPr lang="en-GB" sz="1100">
            <a:latin typeface="Avenir Next LT Pro" panose="020B0504020202020204" pitchFamily="34" charset="0"/>
          </a:endParaRPr>
        </a:p>
      </xdr:txBody>
    </xdr:sp>
    <xdr:clientData/>
  </xdr:twoCellAnchor>
  <xdr:twoCellAnchor>
    <xdr:from>
      <xdr:col>0</xdr:col>
      <xdr:colOff>571500</xdr:colOff>
      <xdr:row>12</xdr:row>
      <xdr:rowOff>510540</xdr:rowOff>
    </xdr:from>
    <xdr:to>
      <xdr:col>1</xdr:col>
      <xdr:colOff>2552700</xdr:colOff>
      <xdr:row>14</xdr:row>
      <xdr:rowOff>15240</xdr:rowOff>
    </xdr:to>
    <xdr:sp macro="" textlink="">
      <xdr:nvSpPr>
        <xdr:cNvPr id="20" name="TextBox 19">
          <a:extLst>
            <a:ext uri="{FF2B5EF4-FFF2-40B4-BE49-F238E27FC236}">
              <a16:creationId xmlns:a16="http://schemas.microsoft.com/office/drawing/2014/main" id="{EADE9D91-F68E-4AB1-8A4F-1CF49728F3FC}"/>
            </a:ext>
          </a:extLst>
        </xdr:cNvPr>
        <xdr:cNvSpPr txBox="1"/>
      </xdr:nvSpPr>
      <xdr:spPr>
        <a:xfrm>
          <a:off x="571500" y="34975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Stafford is below that of England and rural, but increases from 2004 to 2019 at a greater rate than rural thus closing the gap to 'Rural as a Region'.</a:t>
          </a:r>
          <a:endParaRPr lang="en-GB" sz="1100">
            <a:latin typeface="Avenir Next LT Pro" panose="020B0504020202020204" pitchFamily="34" charset="0"/>
          </a:endParaRPr>
        </a:p>
      </xdr:txBody>
    </xdr:sp>
    <xdr:clientData/>
  </xdr:twoCellAnchor>
  <xdr:twoCellAnchor>
    <xdr:from>
      <xdr:col>0</xdr:col>
      <xdr:colOff>624840</xdr:colOff>
      <xdr:row>21</xdr:row>
      <xdr:rowOff>7620</xdr:rowOff>
    </xdr:from>
    <xdr:to>
      <xdr:col>1</xdr:col>
      <xdr:colOff>2606040</xdr:colOff>
      <xdr:row>22</xdr:row>
      <xdr:rowOff>182880</xdr:rowOff>
    </xdr:to>
    <xdr:sp macro="" textlink="">
      <xdr:nvSpPr>
        <xdr:cNvPr id="21" name="TextBox 20">
          <a:extLst>
            <a:ext uri="{FF2B5EF4-FFF2-40B4-BE49-F238E27FC236}">
              <a16:creationId xmlns:a16="http://schemas.microsoft.com/office/drawing/2014/main" id="{8245C608-F7FC-43C5-8D02-8A9F0511D593}"/>
            </a:ext>
          </a:extLst>
        </xdr:cNvPr>
        <xdr:cNvSpPr txBox="1"/>
      </xdr:nvSpPr>
      <xdr:spPr>
        <a:xfrm>
          <a:off x="624840" y="758190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Stafford fluctuates between the upper bound of the England situation and the lower bound of the rural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329</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Stafford</v>
      </c>
      <c r="G12" s="88" t="str">
        <f>IFERROR(VLOOKUP(F12,GVA!B244:B552,1,FALSE),VLOOKUP(F12,GVA!B6:C230,2,FALSE))</f>
        <v>Stafford</v>
      </c>
      <c r="H12" s="89" t="str">
        <f>IF(F12=G12,"",G12)</f>
        <v/>
      </c>
      <c r="I12" s="76">
        <f>IFERROR(VLOOKUP($F12,GVA!$B$7:$S$230,GVA!D$3,FALSE),VLOOKUP($F12,GVA!$B$244:$T$554,GVA!E$3,FALSE))</f>
        <v>21.01</v>
      </c>
      <c r="J12" s="77">
        <f>IFERROR(VLOOKUP($F12,GVA!$B$7:$S$230,GVA!E$3,FALSE),VLOOKUP($F12,GVA!$B$244:$T$554,GVA!F$3,FALSE))</f>
        <v>20.98</v>
      </c>
      <c r="K12" s="77">
        <f>IFERROR(VLOOKUP($F12,GVA!$B$7:$S$230,GVA!F$3,FALSE),VLOOKUP($F12,GVA!$B$244:$T$554,GVA!G$3,FALSE))</f>
        <v>21.28</v>
      </c>
      <c r="L12" s="77">
        <f>IFERROR(VLOOKUP($F12,GVA!$B$7:$S$230,GVA!G$3,FALSE),VLOOKUP($F12,GVA!$B$244:$T$554,GVA!H$3,FALSE))</f>
        <v>21.7</v>
      </c>
      <c r="M12" s="77">
        <f>IFERROR(VLOOKUP($F12,GVA!$B$7:$S$230,GVA!H$3,FALSE),VLOOKUP($F12,GVA!$B$244:$T$554,GVA!I$3,FALSE))</f>
        <v>22.48</v>
      </c>
      <c r="N12" s="77">
        <f>IFERROR(VLOOKUP($F12,GVA!$B$7:$S$230,GVA!I$3,FALSE),VLOOKUP($F12,GVA!$B$244:$T$554,GVA!J$3,FALSE))</f>
        <v>23.37</v>
      </c>
      <c r="O12" s="77">
        <f>IFERROR(VLOOKUP($F12,GVA!$B$7:$S$230,GVA!J$3,FALSE),VLOOKUP($F12,GVA!$B$244:$T$554,GVA!K$3,FALSE))</f>
        <v>24.07</v>
      </c>
      <c r="P12" s="77">
        <f>IFERROR(VLOOKUP($F12,GVA!$B$7:$S$230,GVA!K$3,FALSE),VLOOKUP($F12,GVA!$B$244:$T$554,GVA!L$3,FALSE))</f>
        <v>24.52</v>
      </c>
      <c r="Q12" s="77">
        <f>IFERROR(VLOOKUP($F12,GVA!$B$7:$S$230,GVA!L$3,FALSE),VLOOKUP($F12,GVA!$B$244:$T$554,GVA!M$3,FALSE))</f>
        <v>24.98</v>
      </c>
      <c r="R12" s="77">
        <f>IFERROR(VLOOKUP($F12,GVA!$B$7:$S$230,GVA!M$3,FALSE),VLOOKUP($F12,GVA!$B$244:$T$554,GVA!N$3,FALSE))</f>
        <v>25.86</v>
      </c>
      <c r="S12" s="77">
        <f>IFERROR(VLOOKUP($F12,GVA!$B$7:$S$230,GVA!N$3,FALSE),VLOOKUP($F12,GVA!$B$244:$T$554,GVA!O$3,FALSE))</f>
        <v>26.87</v>
      </c>
      <c r="T12" s="77">
        <f>IFERROR(VLOOKUP($F12,GVA!$B$7:$S$230,GVA!O$3,FALSE),VLOOKUP($F12,GVA!$B$244:$T$554,GVA!P$3,FALSE))</f>
        <v>27.48</v>
      </c>
      <c r="U12" s="77">
        <f>IFERROR(VLOOKUP($F12,GVA!$B$7:$S$230,GVA!P$3,FALSE),VLOOKUP($F12,GVA!$B$244:$T$554,GVA!Q$3,FALSE))</f>
        <v>27.73</v>
      </c>
      <c r="V12" s="77">
        <f>IFERROR(VLOOKUP($F12,GVA!$B$7:$S$230,GVA!Q$3,FALSE),VLOOKUP($F12,GVA!$B$244:$T$554,GVA!R$3,FALSE))</f>
        <v>28</v>
      </c>
      <c r="W12" s="77">
        <f>IFERROR(VLOOKUP($F12,GVA!$B$7:$S$230,GVA!R$3,FALSE),VLOOKUP($F12,GVA!$B$244:$T$554,GVA!S$3,FALSE))</f>
        <v>28.56</v>
      </c>
      <c r="X12" s="77">
        <f>IFERROR(VLOOKUP($F12,GVA!$B$7:$S$230,GVA!S$3,FALSE),VLOOKUP($F12,GVA!$B$244:$T$554,GVA!T$3,FALSE))</f>
        <v>29.01</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Stafford to Rural as a Region</v>
      </c>
      <c r="G15" s="102"/>
      <c r="H15" s="103"/>
      <c r="I15" s="74">
        <f>100*((I12-I13)/I13)</f>
        <v>-10.748114920323411</v>
      </c>
      <c r="J15" s="74">
        <f t="shared" ref="J15:X15" si="0">100*((J12-J13)/J13)</f>
        <v>-10.627421546950119</v>
      </c>
      <c r="K15" s="74">
        <f t="shared" si="0"/>
        <v>-12.442138983997342</v>
      </c>
      <c r="L15" s="74">
        <f t="shared" si="0"/>
        <v>-12.635877379651486</v>
      </c>
      <c r="M15" s="74">
        <f t="shared" si="0"/>
        <v>-11.021896778388754</v>
      </c>
      <c r="N15" s="74">
        <f t="shared" si="0"/>
        <v>-8.2548569665982772</v>
      </c>
      <c r="O15" s="74">
        <f t="shared" si="0"/>
        <v>-6.6696824642143024</v>
      </c>
      <c r="P15" s="74">
        <f t="shared" si="0"/>
        <v>-6.3215489364024489</v>
      </c>
      <c r="Q15" s="74">
        <f t="shared" si="0"/>
        <v>-6.4794758657574638</v>
      </c>
      <c r="R15" s="74">
        <f t="shared" si="0"/>
        <v>-4.8352543798546819</v>
      </c>
      <c r="S15" s="74">
        <f t="shared" si="0"/>
        <v>-2.7317741664404491</v>
      </c>
      <c r="T15" s="74">
        <f t="shared" si="0"/>
        <v>-2.3735007020689727</v>
      </c>
      <c r="U15" s="74">
        <f t="shared" si="0"/>
        <v>-3.8388975812344182</v>
      </c>
      <c r="V15" s="74">
        <f t="shared" si="0"/>
        <v>-5.4719369812913099</v>
      </c>
      <c r="W15" s="74">
        <f t="shared" si="0"/>
        <v>-5.5380774818973375</v>
      </c>
      <c r="X15" s="74">
        <f t="shared" si="0"/>
        <v>-5.0449867708889524</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Stafford</v>
      </c>
      <c r="G20" s="88"/>
      <c r="H20" s="89"/>
      <c r="I20" s="80">
        <f>IF(VLOOKUP($F20,PAY!$A$11:$AE$349,4,FALSE)="-",#N/A,VLOOKUP($F20,PAY!$A$11:$AE$349,4,FALSE))</f>
        <v>449.6</v>
      </c>
      <c r="J20" s="80">
        <f>IF(VLOOKUP($F20,PAY!$A$11:$AE$349,6,FALSE)="-",#N/A,VLOOKUP($F20,PAY!$A$11:$AE$349,6,FALSE))</f>
        <v>479.1</v>
      </c>
      <c r="K20" s="80">
        <f>IF(VLOOKUP($F20,PAY!$A$11:$AE$349,8,FALSE)="-",#N/A,VLOOKUP($F20,PAY!$A$11:$AE$349,8,FALSE))</f>
        <v>491.9</v>
      </c>
      <c r="L20" s="80">
        <f>IF(VLOOKUP($F20,PAY!$A$11:$AE$349,10,FALSE)="-",#N/A,VLOOKUP($F20,PAY!$A$11:$AE$349,10,FALSE))</f>
        <v>497.7</v>
      </c>
      <c r="M20" s="80">
        <f>IF(VLOOKUP($F20,PAY!$A$11:$AE$349,12,FALSE)="-",#N/A,VLOOKUP($F20,PAY!$A$11:$AE$349,12,FALSE))</f>
        <v>476</v>
      </c>
      <c r="N20" s="80">
        <f>IF(VLOOKUP($F20,PAY!$A$11:$AE$349,14,FALSE)="-",#N/A,VLOOKUP($F20,PAY!$A$11:$AE$349,14,FALSE))</f>
        <v>517.5</v>
      </c>
      <c r="O20" s="80">
        <f>IF(VLOOKUP($F20,PAY!$A$11:$AE$349,16,FALSE)="-",#N/A,VLOOKUP($F20,PAY!$A$11:$AE$349,16,FALSE))</f>
        <v>495.6</v>
      </c>
      <c r="P20" s="80">
        <f>IF(VLOOKUP($F20,PAY!$A$11:$AE$349,18,FALSE)="-",#N/A,VLOOKUP($F20,PAY!$A$11:$AE$349,18,FALSE))</f>
        <v>494</v>
      </c>
      <c r="Q20" s="80">
        <f>IF(VLOOKUP($F20,PAY!$A$11:$AE$349,20,FALSE)="-",#N/A,VLOOKUP($F20,PAY!$A$11:$AE$349,20,FALSE))</f>
        <v>514.1</v>
      </c>
      <c r="R20" s="80">
        <f>IF(VLOOKUP($F20,PAY!$A$11:$AE$349,22,FALSE)="-",#N/A,VLOOKUP($F20,PAY!$A$11:$AE$349,22,FALSE))</f>
        <v>520.4</v>
      </c>
      <c r="S20" s="80">
        <f>IF(VLOOKUP($F20,PAY!$A$11:$AE$349,24,FALSE)="-",#N/A,VLOOKUP($F20,PAY!$A$11:$AE$349,24,FALSE))</f>
        <v>543.20000000000005</v>
      </c>
      <c r="T20" s="80">
        <f>IF(VLOOKUP($F20,PAY!$A$11:$AE$349,26,FALSE)="-",#N/A,VLOOKUP($F20,PAY!$A$11:$AE$349,26,FALSE))</f>
        <v>539.20000000000005</v>
      </c>
      <c r="U20" s="80">
        <f>IF(VLOOKUP($F20,PAY!$A$11:$AE$349,28,FALSE)="-",#N/A,VLOOKUP($F20,PAY!$A$11:$AE$349,28,FALSE))</f>
        <v>551.79999999999995</v>
      </c>
      <c r="V20" s="80">
        <f>IF(VLOOKUP($F20,PAY!$A$11:$AE$349,30,FALSE)="-",#N/A,VLOOKUP($F20,PAY!$A$11:$AE$349,30,FALSE))</f>
        <v>578.20000000000005</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Stafford to Rural as a Region</v>
      </c>
      <c r="G23" s="102"/>
      <c r="H23" s="103"/>
      <c r="I23" s="74">
        <f>100*((I20-I21)/I21)</f>
        <v>3.8355395481547387</v>
      </c>
      <c r="J23" s="74">
        <f t="shared" ref="J23:V23" si="2">100*((J20-J21)/J21)</f>
        <v>9.6526863878239997</v>
      </c>
      <c r="K23" s="74">
        <f t="shared" si="2"/>
        <v>9.7715029843873698</v>
      </c>
      <c r="L23" s="74">
        <f t="shared" si="2"/>
        <v>10.439699339355553</v>
      </c>
      <c r="M23" s="74">
        <f t="shared" si="2"/>
        <v>4.5595342034578694</v>
      </c>
      <c r="N23" s="74">
        <f t="shared" si="2"/>
        <v>11.729515230687666</v>
      </c>
      <c r="O23" s="74">
        <f t="shared" si="2"/>
        <v>5.2670635112681348</v>
      </c>
      <c r="P23" s="74">
        <f t="shared" si="2"/>
        <v>4.0390926370734865</v>
      </c>
      <c r="Q23" s="74">
        <f t="shared" si="2"/>
        <v>5.0293386709284604</v>
      </c>
      <c r="R23" s="74">
        <f t="shared" si="2"/>
        <v>3.2422998204442721</v>
      </c>
      <c r="S23" s="74">
        <f t="shared" si="2"/>
        <v>5.5934987874233579</v>
      </c>
      <c r="T23" s="74">
        <f t="shared" si="2"/>
        <v>1.0307668628863884</v>
      </c>
      <c r="U23" s="74">
        <f t="shared" si="2"/>
        <v>3.907706967352619</v>
      </c>
      <c r="V23" s="74">
        <f t="shared" si="2"/>
        <v>2.4715425628454835</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Stafford</v>
      </c>
      <c r="G28" s="88"/>
      <c r="H28" s="89"/>
      <c r="I28" s="76">
        <f>VLOOKUP($F28,EMPLOYMENT!$A$6:$BW$345,6,FALSE)</f>
        <v>76.900000000000006</v>
      </c>
      <c r="J28" s="77">
        <f>VLOOKUP($F28,EMPLOYMENT!$A$6:$BW$345,10,FALSE)</f>
        <v>74.8</v>
      </c>
      <c r="K28" s="77">
        <f>VLOOKUP($F28,EMPLOYMENT!$A$6:$BW$345,14,FALSE)</f>
        <v>79</v>
      </c>
      <c r="L28" s="77">
        <f>VLOOKUP($F28,EMPLOYMENT!$A$6:$BW$345,18,FALSE)</f>
        <v>80.7</v>
      </c>
      <c r="M28" s="77">
        <f>VLOOKUP($F28,EMPLOYMENT!$A$6:$BW$345,22,FALSE)</f>
        <v>75.7</v>
      </c>
      <c r="N28" s="77">
        <f>VLOOKUP($F28,EMPLOYMENT!$A$6:$BW$345,26,FALSE)</f>
        <v>69.400000000000006</v>
      </c>
      <c r="O28" s="77">
        <f>VLOOKUP($F28,EMPLOYMENT!$A$6:$BW$345,30,FALSE)</f>
        <v>69.2</v>
      </c>
      <c r="P28" s="77">
        <f>VLOOKUP($F28,EMPLOYMENT!$A$6:$BW$345,34,FALSE)</f>
        <v>73.8</v>
      </c>
      <c r="Q28" s="77">
        <f>VLOOKUP($F28,EMPLOYMENT!$A$6:$BW$345,38,FALSE)</f>
        <v>80.3</v>
      </c>
      <c r="R28" s="77">
        <f>VLOOKUP($F28,EMPLOYMENT!$A$6:$BW$345,42,FALSE)</f>
        <v>78.400000000000006</v>
      </c>
      <c r="S28" s="77">
        <f>VLOOKUP($F28,EMPLOYMENT!$A$6:$BW$345,46,FALSE)</f>
        <v>70.2</v>
      </c>
      <c r="T28" s="77">
        <f>VLOOKUP($F28,EMPLOYMENT!$A$6:$BW$345,50,FALSE)</f>
        <v>74.900000000000006</v>
      </c>
      <c r="U28" s="77">
        <f>VLOOKUP($F28,EMPLOYMENT!$A$6:$BW$345,54,FALSE)</f>
        <v>74.599999999999994</v>
      </c>
      <c r="V28" s="77">
        <f>VLOOKUP($F28,EMPLOYMENT!$A$6:$BW$345,58,FALSE)</f>
        <v>83.9</v>
      </c>
      <c r="W28" s="77">
        <f>VLOOKUP($F28,EMPLOYMENT!$A$6:$BW$345,62,FALSE)</f>
        <v>78.900000000000006</v>
      </c>
      <c r="X28" s="77">
        <f>VLOOKUP($F28,EMPLOYMENT!$A$6:$BW$345,66,FALSE)</f>
        <v>74.099999999999994</v>
      </c>
      <c r="Y28" s="77">
        <f>VLOOKUP($F28,EMPLOYMENT!$A$6:$BW$345,70,FALSE)</f>
        <v>75.3</v>
      </c>
      <c r="Z28" s="77">
        <f>VLOOKUP($F28,EMPLOYMENT!$A$6:$BW$345,74,FALSE)</f>
        <v>79.2</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Stafford to Rural as a Region</v>
      </c>
      <c r="G31" s="102"/>
      <c r="H31" s="103"/>
      <c r="I31" s="74">
        <f>(I28-I29)</f>
        <v>0.78865808059826747</v>
      </c>
      <c r="J31" s="74">
        <f t="shared" ref="J31:Z31" si="4">(J28-J29)</f>
        <v>-1.5129754666829598</v>
      </c>
      <c r="K31" s="74">
        <f t="shared" si="4"/>
        <v>3.1268111005132369</v>
      </c>
      <c r="L31" s="74">
        <f t="shared" si="4"/>
        <v>5.0595316973721651</v>
      </c>
      <c r="M31" s="74">
        <f t="shared" si="4"/>
        <v>-3.5524373331739412E-2</v>
      </c>
      <c r="N31" s="74">
        <f t="shared" si="4"/>
        <v>-5.1095398428731755</v>
      </c>
      <c r="O31" s="74">
        <f t="shared" si="4"/>
        <v>-4.3471331389698662</v>
      </c>
      <c r="P31" s="74">
        <f t="shared" si="4"/>
        <v>6.5704596722383712E-2</v>
      </c>
      <c r="Q31" s="74">
        <f t="shared" si="4"/>
        <v>6.2668425245374237</v>
      </c>
      <c r="R31" s="74">
        <f t="shared" si="4"/>
        <v>3.6555250700997988</v>
      </c>
      <c r="S31" s="74">
        <f t="shared" si="4"/>
        <v>-5.9088603400756057</v>
      </c>
      <c r="T31" s="74">
        <f t="shared" si="4"/>
        <v>-2.2905319756090137</v>
      </c>
      <c r="U31" s="74">
        <f t="shared" si="4"/>
        <v>-2.3716324817080476</v>
      </c>
      <c r="V31" s="74">
        <f t="shared" si="4"/>
        <v>5.867213114754108</v>
      </c>
      <c r="W31" s="74">
        <f t="shared" si="4"/>
        <v>0.85184310658586071</v>
      </c>
      <c r="X31" s="74">
        <f t="shared" si="4"/>
        <v>-4.4912993789567111</v>
      </c>
      <c r="Y31" s="74">
        <f t="shared" si="4"/>
        <v>-1.7143462961292073</v>
      </c>
      <c r="Z31" s="74">
        <f t="shared" si="4"/>
        <v>3.0442419221209605</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Stafford</v>
      </c>
      <c r="G36" s="88" t="str">
        <f>IFERROR(VLOOKUP(F36,GDHI!B338:C574,2,FALSE),VLOOKUP(F36,GDHI!C3:C336,1,FALSE))</f>
        <v>Stafford</v>
      </c>
      <c r="H36" s="89" t="str">
        <f>IF(F36=G36,"",G36)</f>
        <v/>
      </c>
      <c r="I36" s="83">
        <f>IFERROR(VLOOKUP($F36,GDHI!$B$338:$U$574,GDHI!G$578,FALSE),VLOOKUP($F36,GDHI!$C$3:$U$336,GDHI!F$578,FALSE))</f>
        <v>13969</v>
      </c>
      <c r="J36" s="84">
        <f>IFERROR(VLOOKUP($F36,GDHI!$B$338:$U$574,GDHI!H$578,FALSE),VLOOKUP($F36,GDHI!$C$3:$U$336,GDHI!G$578,FALSE))</f>
        <v>14402</v>
      </c>
      <c r="K36" s="84">
        <f>IFERROR(VLOOKUP($F36,GDHI!$B$338:$U$574,GDHI!I$578,FALSE),VLOOKUP($F36,GDHI!$C$3:$U$336,GDHI!H$578,FALSE))</f>
        <v>14983</v>
      </c>
      <c r="L36" s="84">
        <f>IFERROR(VLOOKUP($F36,GDHI!$B$338:$U$574,GDHI!J$578,FALSE),VLOOKUP($F36,GDHI!$C$3:$U$336,GDHI!I$578,FALSE))</f>
        <v>15481</v>
      </c>
      <c r="M36" s="84">
        <f>IFERROR(VLOOKUP($F36,GDHI!$B$338:$U$574,GDHI!K$578,FALSE),VLOOKUP($F36,GDHI!$C$3:$U$336,GDHI!J$578,FALSE))</f>
        <v>16024</v>
      </c>
      <c r="N36" s="84">
        <f>IFERROR(VLOOKUP($F36,GDHI!$B$338:$U$574,GDHI!L$578,FALSE),VLOOKUP($F36,GDHI!$C$3:$U$336,GDHI!K$578,FALSE))</f>
        <v>16043</v>
      </c>
      <c r="O36" s="84">
        <f>IFERROR(VLOOKUP($F36,GDHI!$B$338:$U$574,GDHI!M$578,FALSE),VLOOKUP($F36,GDHI!$C$3:$U$336,GDHI!L$578,FALSE))</f>
        <v>16172</v>
      </c>
      <c r="P36" s="84">
        <f>IFERROR(VLOOKUP($F36,GDHI!$B$338:$U$574,GDHI!N$578,FALSE),VLOOKUP($F36,GDHI!$C$3:$U$336,GDHI!M$578,FALSE))</f>
        <v>16386</v>
      </c>
      <c r="Q36" s="84">
        <f>IFERROR(VLOOKUP($F36,GDHI!$B$338:$U$574,GDHI!O$578,FALSE),VLOOKUP($F36,GDHI!$C$3:$U$336,GDHI!N$578,FALSE))</f>
        <v>16798</v>
      </c>
      <c r="R36" s="84">
        <f>IFERROR(VLOOKUP($F36,GDHI!$B$338:$U$574,GDHI!P$578,FALSE),VLOOKUP($F36,GDHI!$C$3:$U$336,GDHI!O$578,FALSE))</f>
        <v>17403</v>
      </c>
      <c r="S36" s="84">
        <f>IFERROR(VLOOKUP($F36,GDHI!$B$338:$U$574,GDHI!Q$578,FALSE),VLOOKUP($F36,GDHI!$C$3:$U$336,GDHI!P$578,FALSE))</f>
        <v>17988</v>
      </c>
      <c r="T36" s="84">
        <f>IFERROR(VLOOKUP($F36,GDHI!$B$338:$U$574,GDHI!R$578,FALSE),VLOOKUP($F36,GDHI!$C$3:$U$336,GDHI!Q$578,FALSE))</f>
        <v>19103</v>
      </c>
      <c r="U36" s="84">
        <f>IFERROR(VLOOKUP($F36,GDHI!$B$338:$U$574,GDHI!S$578,FALSE),VLOOKUP($F36,GDHI!$C$3:$U$336,GDHI!R$578,FALSE))</f>
        <v>19059</v>
      </c>
      <c r="V36" s="84">
        <f>IFERROR(VLOOKUP($F36,GDHI!$B$338:$U$574,GDHI!T$578,FALSE),VLOOKUP($F36,GDHI!$C$3:$U$336,GDHI!S$578,FALSE))</f>
        <v>19309</v>
      </c>
      <c r="W36" s="84">
        <f>IFERROR(VLOOKUP($F36,GDHI!$B$338:$U$574,GDHI!U$578,FALSE),VLOOKUP($F36,GDHI!$C$3:$U$336,GDHI!T$578,FALSE))</f>
        <v>20095</v>
      </c>
      <c r="X36" s="84">
        <f>IFERROR(VLOOKUP($F36,GDHI!$B$338:$U$574,GDHI!V$578,FALSE),VLOOKUP($F36,GDHI!$C$3:$U$336,GDHI!U$578,FALSE))</f>
        <v>20473</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Stafford to Rural as a Region</v>
      </c>
      <c r="G39" s="102"/>
      <c r="H39" s="103"/>
      <c r="I39" s="74">
        <f>100*((I36-I37)/I37)</f>
        <v>-5.0341615962473236</v>
      </c>
      <c r="J39" s="74">
        <f t="shared" ref="J39:X39" si="6">100*((J36-J37)/J37)</f>
        <v>-6.123548030893609</v>
      </c>
      <c r="K39" s="74">
        <f t="shared" si="6"/>
        <v>-5.9103743857610906</v>
      </c>
      <c r="L39" s="74">
        <f t="shared" si="6"/>
        <v>-6.5618472588374068</v>
      </c>
      <c r="M39" s="74">
        <f t="shared" si="6"/>
        <v>-6.0912299600299349</v>
      </c>
      <c r="N39" s="74">
        <f t="shared" si="6"/>
        <v>-7.2279112353323915</v>
      </c>
      <c r="O39" s="74">
        <f t="shared" si="6"/>
        <v>-7.6303576953283105</v>
      </c>
      <c r="P39" s="74">
        <f t="shared" si="6"/>
        <v>-7.9440664952742202</v>
      </c>
      <c r="Q39" s="74">
        <f t="shared" si="6"/>
        <v>-8.5392935063722799</v>
      </c>
      <c r="R39" s="74">
        <f t="shared" si="6"/>
        <v>-7.7934996035728314</v>
      </c>
      <c r="S39" s="74">
        <f t="shared" si="6"/>
        <v>-7.2593994722780222</v>
      </c>
      <c r="T39" s="74">
        <f t="shared" si="6"/>
        <v>-6.6249559209125088</v>
      </c>
      <c r="U39" s="74">
        <f t="shared" si="6"/>
        <v>-7.5923005705076916</v>
      </c>
      <c r="V39" s="74">
        <f t="shared" si="6"/>
        <v>-7.9010232803229359</v>
      </c>
      <c r="W39" s="74">
        <f t="shared" si="6"/>
        <v>-7.9978503508441161</v>
      </c>
      <c r="X39" s="74">
        <f t="shared" si="6"/>
        <v>-8.0490474375103993</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Stafford</v>
      </c>
      <c r="G44" s="88"/>
      <c r="H44" s="89"/>
      <c r="I44" s="76">
        <f>VLOOKUP($F44,'LOW PAID'!$A$9:$N$444,6,FALSE)</f>
        <v>24.3</v>
      </c>
      <c r="J44" s="77">
        <f>VLOOKUP($F44,'LOW PAID'!$P$9:$W$444,6,FALSE)</f>
        <v>22.4</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Stafford to Rural as a Region</v>
      </c>
      <c r="G47" s="102"/>
      <c r="H47" s="103"/>
      <c r="I47" s="74">
        <f>(I44-I45)</f>
        <v>-0.89387467821311617</v>
      </c>
      <c r="J47" s="74">
        <f>(J44-J45)</f>
        <v>-3.2861165090300553</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Stafford</v>
      </c>
      <c r="G52" s="88"/>
      <c r="H52" s="89"/>
      <c r="I52" s="76">
        <f>VLOOKUP($F52,INACTIVITY!$A$6:$BW$345,6,FALSE)</f>
        <v>20.6</v>
      </c>
      <c r="J52" s="77">
        <f>VLOOKUP($F52,INACTIVITY!$A$6:$BW$345,10,FALSE)</f>
        <v>23.7</v>
      </c>
      <c r="K52" s="77">
        <f>VLOOKUP($F52,INACTIVITY!$A$6:$BW$345,14,FALSE)</f>
        <v>18.100000000000001</v>
      </c>
      <c r="L52" s="77">
        <f>VLOOKUP($F52,INACTIVITY!$A$6:$BW$345,18,FALSE)</f>
        <v>17</v>
      </c>
      <c r="M52" s="77">
        <f>VLOOKUP($F52,INACTIVITY!$A$6:$BW$345,22,FALSE)</f>
        <v>20.3</v>
      </c>
      <c r="N52" s="77">
        <f>VLOOKUP($F52,INACTIVITY!$A$6:$BW$345,26,FALSE)</f>
        <v>25</v>
      </c>
      <c r="O52" s="77">
        <f>VLOOKUP($F52,INACTIVITY!$A$6:$BW$345,30,FALSE)</f>
        <v>25.7</v>
      </c>
      <c r="P52" s="77">
        <f>VLOOKUP($F52,INACTIVITY!$A$6:$BW$345,34,FALSE)</f>
        <v>21.5</v>
      </c>
      <c r="Q52" s="77">
        <f>VLOOKUP($F52,INACTIVITY!$A$6:$BW$345,38,FALSE)</f>
        <v>17.3</v>
      </c>
      <c r="R52" s="77">
        <f>VLOOKUP($F52,INACTIVITY!$A$6:$BW$345,42,FALSE)</f>
        <v>18.3</v>
      </c>
      <c r="S52" s="77">
        <f>VLOOKUP($F52,INACTIVITY!$A$6:$BW$345,46,FALSE)</f>
        <v>28.4</v>
      </c>
      <c r="T52" s="77">
        <f>VLOOKUP($F52,INACTIVITY!$A$6:$BW$345,50,FALSE)</f>
        <v>22.8</v>
      </c>
      <c r="U52" s="77">
        <f>VLOOKUP($F52,INACTIVITY!$A$6:$BW$345,54,FALSE)</f>
        <v>20.5</v>
      </c>
      <c r="V52" s="77">
        <f>VLOOKUP($F52,INACTIVITY!$A$6:$BW$345,58,FALSE)</f>
        <v>12.4</v>
      </c>
      <c r="W52" s="77">
        <f>VLOOKUP($F52,INACTIVITY!$A$6:$BW$345,62,FALSE)</f>
        <v>19.2</v>
      </c>
      <c r="X52" s="77">
        <f>VLOOKUP($F52,INACTIVITY!$A$6:$BW$345,66,FALSE)</f>
        <v>23.3</v>
      </c>
      <c r="Y52" s="77">
        <f>VLOOKUP($F52,INACTIVITY!$A$6:$BW$345,70,FALSE)</f>
        <v>22</v>
      </c>
      <c r="Z52" s="77">
        <f>VLOOKUP($F52,INACTIVITY!$A$6:$BW$345,74,FALSE)</f>
        <v>19.399999999999999</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Stafford to Rural as a Region</v>
      </c>
      <c r="G55" s="102"/>
      <c r="H55" s="103"/>
      <c r="I55" s="74">
        <f>(I52-I53)</f>
        <v>-0.79564457161023583</v>
      </c>
      <c r="J55" s="74">
        <f t="shared" ref="J55:Z55" si="10">(J52-J53)</f>
        <v>2.6914772727272727</v>
      </c>
      <c r="K55" s="74">
        <f t="shared" si="10"/>
        <v>-2.7624653934587755</v>
      </c>
      <c r="L55" s="74">
        <f t="shared" si="10"/>
        <v>-4.3140653315366393</v>
      </c>
      <c r="M55" s="74">
        <f t="shared" si="10"/>
        <v>-0.53500231089200412</v>
      </c>
      <c r="N55" s="74">
        <f t="shared" si="10"/>
        <v>4.0668562420795595</v>
      </c>
      <c r="O55" s="74">
        <f t="shared" si="10"/>
        <v>4.0080628724948255</v>
      </c>
      <c r="P55" s="74">
        <f t="shared" si="10"/>
        <v>5.7542192465511732E-3</v>
      </c>
      <c r="Q55" s="74">
        <f t="shared" si="10"/>
        <v>-3.8825487944890931</v>
      </c>
      <c r="R55" s="74">
        <f t="shared" si="10"/>
        <v>-2.4745930974387704</v>
      </c>
      <c r="S55" s="74">
        <f t="shared" si="10"/>
        <v>8.1267895440275986</v>
      </c>
      <c r="T55" s="74">
        <f t="shared" si="10"/>
        <v>3.1038053165930428</v>
      </c>
      <c r="U55" s="74">
        <f t="shared" si="10"/>
        <v>0.64757065293052918</v>
      </c>
      <c r="V55" s="74">
        <f t="shared" si="10"/>
        <v>-6.8532773342803761</v>
      </c>
      <c r="W55" s="74">
        <f t="shared" si="10"/>
        <v>2.3043990817150473E-2</v>
      </c>
      <c r="X55" s="74">
        <f t="shared" si="10"/>
        <v>4.4479350506350706</v>
      </c>
      <c r="Y55" s="74">
        <f t="shared" si="10"/>
        <v>2.227417278128538</v>
      </c>
      <c r="Z55" s="74">
        <f t="shared" si="10"/>
        <v>-1.6851797756300719</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Stafford</v>
      </c>
      <c r="G60" s="88"/>
      <c r="H60" s="89"/>
      <c r="I60" s="76">
        <f>VLOOKUP($F60,DISABILITY!$A$718:$I$1052,DISABILITY!B$1053,FALSE)</f>
        <v>20.300000000000004</v>
      </c>
      <c r="J60" s="77">
        <f>VLOOKUP($F60,DISABILITY!$A$718:$I$1052,DISABILITY!C$1053,FALSE)</f>
        <v>24.699999999999996</v>
      </c>
      <c r="K60" s="77">
        <f>VLOOKUP($F60,DISABILITY!$A$718:$I$1052,DISABILITY!D$1053,FALSE)</f>
        <v>13.999999999999993</v>
      </c>
      <c r="L60" s="77">
        <f>VLOOKUP($F60,DISABILITY!$A$718:$I$1052,DISABILITY!E$1053,FALSE)</f>
        <v>17.099999999999994</v>
      </c>
      <c r="M60" s="77">
        <f>VLOOKUP($F60,DISABILITY!$A$718:$I$1052,DISABILITY!F$1053,FALSE)</f>
        <v>24.4</v>
      </c>
      <c r="N60" s="77">
        <f>VLOOKUP($F60,DISABILITY!$A$718:$I$1052,DISABILITY!G$1053,FALSE)</f>
        <v>25.700000000000003</v>
      </c>
      <c r="O60" s="77">
        <f>VLOOKUP($F60,DISABILITY!$A$718:$I$1052,DISABILITY!H$1053,FALSE)</f>
        <v>31.9</v>
      </c>
      <c r="P60" s="77">
        <f>VLOOKUP($F60,DISABILITY!$A$718:$I$1052,DISABILITY!I$1053,FALSE)</f>
        <v>22.4</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Stafford to Rural as a Region</v>
      </c>
      <c r="G63" s="102"/>
      <c r="H63" s="103"/>
      <c r="I63" s="74">
        <f>(I60-I61)</f>
        <v>-7.120156540647244</v>
      </c>
      <c r="J63" s="74">
        <f t="shared" ref="J63:P63" si="12">(J60-J61)</f>
        <v>-2.6190444070511916</v>
      </c>
      <c r="K63" s="74">
        <f t="shared" si="12"/>
        <v>-14.119128361498213</v>
      </c>
      <c r="L63" s="74">
        <f t="shared" si="12"/>
        <v>-8.8909345389966816</v>
      </c>
      <c r="M63" s="74">
        <f t="shared" si="12"/>
        <v>-1.0752258186661194</v>
      </c>
      <c r="N63" s="74">
        <f t="shared" si="12"/>
        <v>0.16875231455802009</v>
      </c>
      <c r="O63" s="74">
        <f t="shared" si="12"/>
        <v>8.1027777120030535</v>
      </c>
      <c r="P63" s="74">
        <f t="shared" si="12"/>
        <v>-2.9541779303421762</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Stafford</v>
      </c>
      <c r="G68" s="88"/>
      <c r="H68" s="89"/>
      <c r="I68" s="76">
        <f>VLOOKUP($F68,'WORKLESS HOUSEHOLDS'!$DW$4:$EC$397,7,FALSE)</f>
        <v>2.9182147285104874</v>
      </c>
      <c r="J68" s="77">
        <f>VLOOKUP($F68,'WORKLESS HOUSEHOLDS'!$DN$4:$DT$397,7,FALSE)</f>
        <v>7.9847671020167432</v>
      </c>
      <c r="K68" s="77">
        <f>VLOOKUP($F68,'WORKLESS HOUSEHOLDS'!$DE$4:$DK$397,7,FALSE)</f>
        <v>17.17545621115222</v>
      </c>
      <c r="L68" s="77">
        <f>VLOOKUP($F68,'WORKLESS HOUSEHOLDS'!$CV$4:$DB$397,7,FALSE)</f>
        <v>11.811215377349024</v>
      </c>
      <c r="M68" s="77">
        <f>VLOOKUP($F68,'WORKLESS HOUSEHOLDS'!$CM$4:$CS$397,7,FALSE)</f>
        <v>14.051340021290152</v>
      </c>
      <c r="N68" s="77">
        <f>VLOOKUP($F68,'WORKLESS HOUSEHOLDS'!$CD$4:$CJ$397,7,FALSE)</f>
        <v>7.8037961625747885</v>
      </c>
      <c r="O68" s="77">
        <f>VLOOKUP($F68,'WORKLESS HOUSEHOLDS'!$BU$4:$CA$397,7,FALSE)</f>
        <v>3.1457228116710874</v>
      </c>
      <c r="P68" s="77">
        <f>VLOOKUP($F68,'WORKLESS HOUSEHOLDS'!$BL$4:$BR$397,7,FALSE)</f>
        <v>3.8020136590861084</v>
      </c>
      <c r="Q68" s="77">
        <f>VLOOKUP($F68,'WORKLESS HOUSEHOLDS'!$BC$4:$BI$397,7,FALSE)</f>
        <v>5.2012017928384964</v>
      </c>
      <c r="R68" s="77">
        <f>VLOOKUP($F68,'WORKLESS HOUSEHOLDS'!$AT$4:$AZ$397,7,FALSE)</f>
        <v>4.2323651452282158</v>
      </c>
      <c r="S68" s="77" t="str">
        <f>VLOOKUP($F68,'WORKLESS HOUSEHOLDS'!$AK$4:$AQ$397,7,FALSE)</f>
        <v>#</v>
      </c>
      <c r="T68" s="77" t="str">
        <f>VLOOKUP($F68,'WORKLESS HOUSEHOLDS'!$AB$4:$AH$397,7,FALSE)</f>
        <v>#</v>
      </c>
      <c r="U68" s="77" t="str">
        <f>VLOOKUP($F68,'WORKLESS HOUSEHOLDS'!$S$4:$Y$397,7,FALSE)</f>
        <v>#</v>
      </c>
      <c r="V68" s="77">
        <f>VLOOKUP($F68,'WORKLESS HOUSEHOLDS'!$J$4:$P$397,7,FALSE)</f>
        <v>11.300102774922918</v>
      </c>
      <c r="W68" s="77" t="str">
        <f>VLOOKUP($F68,'WORKLESS HOUSEHOLDS'!$B$4:$H$397,7,FALSE)</f>
        <v>n/a</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Stafford to Rural as a Region</v>
      </c>
      <c r="G71" s="102"/>
      <c r="H71" s="103"/>
      <c r="I71" s="74">
        <f>(I68-I69)</f>
        <v>-7.0937311340762035</v>
      </c>
      <c r="J71" s="74">
        <f t="shared" ref="J71:W71" si="14">(J68-J69)</f>
        <v>-2.926387735458281</v>
      </c>
      <c r="K71" s="74">
        <f t="shared" si="14"/>
        <v>6.8822104819963759</v>
      </c>
      <c r="L71" s="74">
        <f t="shared" si="14"/>
        <v>0.84520871601929137</v>
      </c>
      <c r="M71" s="74">
        <f t="shared" si="14"/>
        <v>2.3575608401016783</v>
      </c>
      <c r="N71" s="74">
        <f t="shared" si="14"/>
        <v>-4.0973035166805927</v>
      </c>
      <c r="O71" s="74">
        <f t="shared" si="14"/>
        <v>-7.8895304360714249</v>
      </c>
      <c r="P71" s="74">
        <f t="shared" si="14"/>
        <v>-5.8894842266817289</v>
      </c>
      <c r="Q71" s="74">
        <f t="shared" si="14"/>
        <v>-5.6039764675599155</v>
      </c>
      <c r="R71" s="74">
        <f t="shared" si="14"/>
        <v>-6.4737311785013381</v>
      </c>
      <c r="S71" s="74" t="e">
        <f t="shared" si="14"/>
        <v>#VALUE!</v>
      </c>
      <c r="T71" s="74" t="e">
        <f t="shared" si="14"/>
        <v>#VALUE!</v>
      </c>
      <c r="U71" s="74" t="e">
        <f t="shared" si="14"/>
        <v>#VALUE!</v>
      </c>
      <c r="V71" s="74">
        <f t="shared" si="14"/>
        <v>1.3612342983832697</v>
      </c>
      <c r="W71" s="74" t="e">
        <f t="shared" si="14"/>
        <v>#VALUE!</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Stafford</v>
      </c>
      <c r="G76" s="88"/>
      <c r="H76" s="89"/>
      <c r="I76" s="76">
        <f>VLOOKUP($F76,'SKILLED EMPLOYMENT'!$A$1506:$BW$1841,6,FALSE)</f>
        <v>56.800000000000004</v>
      </c>
      <c r="J76" s="77">
        <f>VLOOKUP($F76,'SKILLED EMPLOYMENT'!$A$1506:$BW$1841,10,FALSE)</f>
        <v>54.5</v>
      </c>
      <c r="K76" s="77">
        <f>VLOOKUP($F76,'SKILLED EMPLOYMENT'!$A$1506:$BW$1841,14,FALSE)</f>
        <v>51.8</v>
      </c>
      <c r="L76" s="77">
        <f>VLOOKUP($F76,'SKILLED EMPLOYMENT'!$A$1506:$BW$1841,18,FALSE)</f>
        <v>53.099999999999994</v>
      </c>
      <c r="M76" s="77">
        <f>VLOOKUP($F76,'SKILLED EMPLOYMENT'!$A$1506:$BW$1841,22,FALSE)</f>
        <v>53.099999999999994</v>
      </c>
      <c r="N76" s="77">
        <f>VLOOKUP($F76,'SKILLED EMPLOYMENT'!$A$1506:$BW$1841,26,FALSE)</f>
        <v>53.9</v>
      </c>
      <c r="O76" s="77">
        <f>VLOOKUP($F76,'SKILLED EMPLOYMENT'!$A$1506:$BW$1841,30,FALSE)</f>
        <v>53.400000000000006</v>
      </c>
      <c r="P76" s="77">
        <f>VLOOKUP($F76,'SKILLED EMPLOYMENT'!$A$1506:$BW$1841,34,FALSE)</f>
        <v>55</v>
      </c>
      <c r="Q76" s="77">
        <f>VLOOKUP($F76,'SKILLED EMPLOYMENT'!$A$1506:$BW$1841,38,FALSE)</f>
        <v>55.5</v>
      </c>
      <c r="R76" s="77">
        <f>VLOOKUP($F76,'SKILLED EMPLOYMENT'!$A$1506:$BW$1841,42,FALSE)</f>
        <v>58.100000000000009</v>
      </c>
      <c r="S76" s="77">
        <f>VLOOKUP($F76,'SKILLED EMPLOYMENT'!$A$1506:$BW$1841,46,FALSE)</f>
        <v>62.5</v>
      </c>
      <c r="T76" s="77">
        <f>VLOOKUP($F76,'SKILLED EMPLOYMENT'!$A$1506:$BW$1841,50,FALSE)</f>
        <v>56.7</v>
      </c>
      <c r="U76" s="77">
        <f>VLOOKUP($F76,'SKILLED EMPLOYMENT'!$A$1506:$BW$1841,54,FALSE)</f>
        <v>55.7</v>
      </c>
      <c r="V76" s="77">
        <f>VLOOKUP($F76,'SKILLED EMPLOYMENT'!$A$1506:$BW$1841,58,FALSE)</f>
        <v>54.100000000000009</v>
      </c>
      <c r="W76" s="77">
        <f>VLOOKUP($F76,'SKILLED EMPLOYMENT'!$A$1506:$BW$1841,62,FALSE)</f>
        <v>61.400000000000006</v>
      </c>
      <c r="X76" s="77">
        <f>VLOOKUP($F76,'SKILLED EMPLOYMENT'!$A$1506:$BW$1841,66,FALSE)</f>
        <v>67.900000000000006</v>
      </c>
      <c r="Y76" s="77">
        <f>VLOOKUP($F76,'SKILLED EMPLOYMENT'!$A$1506:$BW$1841,70,FALSE)</f>
        <v>70.100000000000009</v>
      </c>
      <c r="Z76" s="77">
        <f>VLOOKUP($F76,'SKILLED EMPLOYMENT'!$A$1506:$BW$1841,74,FALSE)</f>
        <v>64.900000000000006</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Stafford to Rural as a Region</v>
      </c>
      <c r="G79" s="102"/>
      <c r="H79" s="103"/>
      <c r="I79" s="74">
        <f>(I76-I77)</f>
        <v>4.1000000000000014</v>
      </c>
      <c r="J79" s="74">
        <f t="shared" ref="J79:Z79" si="17">(J76-J77)</f>
        <v>1.6000000000000014</v>
      </c>
      <c r="K79" s="74">
        <f t="shared" si="17"/>
        <v>-1.7000000000000028</v>
      </c>
      <c r="L79" s="74">
        <f t="shared" si="17"/>
        <v>-0.90000000000000568</v>
      </c>
      <c r="M79" s="74">
        <f t="shared" si="17"/>
        <v>-1.0000000000000071</v>
      </c>
      <c r="N79" s="74">
        <f t="shared" si="17"/>
        <v>-0.5</v>
      </c>
      <c r="O79" s="74">
        <f t="shared" si="17"/>
        <v>-1.9999999999999929</v>
      </c>
      <c r="P79" s="74">
        <f t="shared" si="17"/>
        <v>-0.60000000000000142</v>
      </c>
      <c r="Q79" s="74">
        <f t="shared" si="17"/>
        <v>0.10000000000000142</v>
      </c>
      <c r="R79" s="74">
        <f t="shared" si="17"/>
        <v>1.9000000000000057</v>
      </c>
      <c r="S79" s="74">
        <f t="shared" si="17"/>
        <v>6.2999999999999972</v>
      </c>
      <c r="T79" s="74">
        <f t="shared" si="17"/>
        <v>-9.9999999999994316E-2</v>
      </c>
      <c r="U79" s="74">
        <f t="shared" si="17"/>
        <v>-0.89999999999999858</v>
      </c>
      <c r="V79" s="74">
        <f t="shared" si="17"/>
        <v>-2.9999999999999929</v>
      </c>
      <c r="W79" s="74">
        <f t="shared" si="17"/>
        <v>3.6000000000000085</v>
      </c>
      <c r="X79" s="74">
        <f t="shared" si="17"/>
        <v>9.1000000000000085</v>
      </c>
      <c r="Y79" s="74">
        <f t="shared" si="17"/>
        <v>11.400000000000006</v>
      </c>
      <c r="Z79" s="74">
        <f t="shared" si="17"/>
        <v>6.5000000000000071</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R/GujI4/5XKCRYbi9ytOKP5Owa3EtjMov32U4xxj53Bt7mwNrc8G1xrfSo7Z5PimTRsIWB3gLCDW8JFYrvaJjg==" saltValue="cagMWVjkrwCZ4FWCoJkKfQ=="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2022-08-02T13:23:12Z</dcterms:modified>
</cp:coreProperties>
</file>