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4E9FD18B-1EE9-475D-9C06-D601AE622F90}" xr6:coauthVersionLast="47" xr6:coauthVersionMax="47" xr10:uidLastSave="{0D69DCE2-60F5-4FF2-9A49-778A1811D31C}"/>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<sst xmlns="http://schemas.openxmlformats.org/spreadsheetml/2006/main" count="32859" uniqueCount="1676">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</sst>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Staffordshire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22.01</c:v>
                </c:pt>
                <c:pt idx="1">
                  <c:v>23.2</c:v>
                </c:pt>
                <c:pt idx="2">
                  <c:v>23.69</c:v>
                </c:pt>
                <c:pt idx="3">
                  <c:v>24.02</c:v>
                </c:pt>
                <c:pt idx="4">
                  <c:v>24.38</c:v>
                </c:pt>
                <c:pt idx="5">
                  <c:v>24.09</c:v>
                </c:pt>
                <c:pt idx="6">
                  <c:v>25.63</c:v>
                </c:pt>
                <c:pt idx="7">
                  <c:v>26.94</c:v>
                </c:pt>
                <c:pt idx="8">
                  <c:v>25.36</c:v>
                </c:pt>
                <c:pt idx="9">
                  <c:v>25.43</c:v>
                </c:pt>
                <c:pt idx="10">
                  <c:v>26.82</c:v>
                </c:pt>
                <c:pt idx="11">
                  <c:v>27.19</c:v>
                </c:pt>
                <c:pt idx="12">
                  <c:v>28.35</c:v>
                </c:pt>
                <c:pt idx="13">
                  <c:v>28.49</c:v>
                </c:pt>
                <c:pt idx="14">
                  <c:v>29.32</c:v>
                </c:pt>
                <c:pt idx="15">
                  <c:v>30.4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Staffordshire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440.8</c:v>
                </c:pt>
                <c:pt idx="1">
                  <c:v>442.5</c:v>
                </c:pt>
                <c:pt idx="2">
                  <c:v>461.9</c:v>
                </c:pt>
                <c:pt idx="3">
                  <c:v>457.3</c:v>
                </c:pt>
                <c:pt idx="4">
                  <c:v>445.4</c:v>
                </c:pt>
                <c:pt idx="5">
                  <c:v>480.8</c:v>
                </c:pt>
                <c:pt idx="6">
                  <c:v>464.2</c:v>
                </c:pt>
                <c:pt idx="7">
                  <c:v>469</c:v>
                </c:pt>
                <c:pt idx="8">
                  <c:v>494.5</c:v>
                </c:pt>
                <c:pt idx="9">
                  <c:v>495</c:v>
                </c:pt>
                <c:pt idx="10">
                  <c:v>509.1</c:v>
                </c:pt>
                <c:pt idx="11">
                  <c:v>527.79999999999995</c:v>
                </c:pt>
                <c:pt idx="12">
                  <c:v>522.29999999999995</c:v>
                </c:pt>
                <c:pt idx="13">
                  <c:v>553.70000000000005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Staffordshire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75.599999999999994</c:v>
                </c:pt>
                <c:pt idx="1">
                  <c:v>75.099999999999994</c:v>
                </c:pt>
                <c:pt idx="2">
                  <c:v>75.5</c:v>
                </c:pt>
                <c:pt idx="3">
                  <c:v>74.2</c:v>
                </c:pt>
                <c:pt idx="4">
                  <c:v>75.8</c:v>
                </c:pt>
                <c:pt idx="5">
                  <c:v>74.2</c:v>
                </c:pt>
                <c:pt idx="6">
                  <c:v>72</c:v>
                </c:pt>
                <c:pt idx="7">
                  <c:v>71</c:v>
                </c:pt>
                <c:pt idx="8">
                  <c:v>73.400000000000006</c:v>
                </c:pt>
                <c:pt idx="9">
                  <c:v>74.8</c:v>
                </c:pt>
                <c:pt idx="10">
                  <c:v>73</c:v>
                </c:pt>
                <c:pt idx="11">
                  <c:v>77.099999999999994</c:v>
                </c:pt>
                <c:pt idx="12">
                  <c:v>78.3</c:v>
                </c:pt>
                <c:pt idx="13">
                  <c:v>79.3</c:v>
                </c:pt>
                <c:pt idx="14">
                  <c:v>78.7</c:v>
                </c:pt>
                <c:pt idx="15">
                  <c:v>79.099999999999994</c:v>
                </c:pt>
                <c:pt idx="16">
                  <c:v>77.2</c:v>
                </c:pt>
                <c:pt idx="17">
                  <c:v>77.3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Staffordshire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13026</c:v>
                </c:pt>
                <c:pt idx="1">
                  <c:v>13475</c:v>
                </c:pt>
                <c:pt idx="2">
                  <c:v>14064</c:v>
                </c:pt>
                <c:pt idx="3">
                  <c:v>14553</c:v>
                </c:pt>
                <c:pt idx="4">
                  <c:v>15067</c:v>
                </c:pt>
                <c:pt idx="5">
                  <c:v>15261</c:v>
                </c:pt>
                <c:pt idx="6">
                  <c:v>15430</c:v>
                </c:pt>
                <c:pt idx="7">
                  <c:v>15588</c:v>
                </c:pt>
                <c:pt idx="8">
                  <c:v>16046</c:v>
                </c:pt>
                <c:pt idx="9">
                  <c:v>16596</c:v>
                </c:pt>
                <c:pt idx="10">
                  <c:v>17099</c:v>
                </c:pt>
                <c:pt idx="11">
                  <c:v>18100</c:v>
                </c:pt>
                <c:pt idx="12">
                  <c:v>18124</c:v>
                </c:pt>
                <c:pt idx="13">
                  <c:v>18451</c:v>
                </c:pt>
                <c:pt idx="14">
                  <c:v>19234</c:v>
                </c:pt>
                <c:pt idx="15">
                  <c:v>19692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Staffordshire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28.8</c:v>
                </c:pt>
                <c:pt idx="1">
                  <c:v>27.4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Staffordshire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21.7</c:v>
                </c:pt>
                <c:pt idx="1">
                  <c:v>22.4</c:v>
                </c:pt>
                <c:pt idx="2">
                  <c:v>21.6</c:v>
                </c:pt>
                <c:pt idx="3">
                  <c:v>22.3</c:v>
                </c:pt>
                <c:pt idx="4">
                  <c:v>20.6</c:v>
                </c:pt>
                <c:pt idx="5">
                  <c:v>20.100000000000001</c:v>
                </c:pt>
                <c:pt idx="6">
                  <c:v>22.8</c:v>
                </c:pt>
                <c:pt idx="7">
                  <c:v>22.7</c:v>
                </c:pt>
                <c:pt idx="8">
                  <c:v>21.8</c:v>
                </c:pt>
                <c:pt idx="9">
                  <c:v>21.6</c:v>
                </c:pt>
                <c:pt idx="10">
                  <c:v>23.3</c:v>
                </c:pt>
                <c:pt idx="11">
                  <c:v>19.399999999999999</c:v>
                </c:pt>
                <c:pt idx="12">
                  <c:v>18.3</c:v>
                </c:pt>
                <c:pt idx="13">
                  <c:v>17.3</c:v>
                </c:pt>
                <c:pt idx="14">
                  <c:v>18.8</c:v>
                </c:pt>
                <c:pt idx="15">
                  <c:v>18.3</c:v>
                </c:pt>
                <c:pt idx="16">
                  <c:v>18.399999999999999</c:v>
                </c:pt>
                <c:pt idx="17">
                  <c:v>19.8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Staffordshire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33.199999999999996</c:v>
                </c:pt>
                <c:pt idx="1">
                  <c:v>29.1</c:v>
                </c:pt>
                <c:pt idx="2">
                  <c:v>26.899999999999991</c:v>
                </c:pt>
                <c:pt idx="3">
                  <c:v>27.300000000000004</c:v>
                </c:pt>
                <c:pt idx="4">
                  <c:v>31.800000000000004</c:v>
                </c:pt>
                <c:pt idx="5">
                  <c:v>30.399999999999991</c:v>
                </c:pt>
                <c:pt idx="6">
                  <c:v>23.799999999999997</c:v>
                </c:pt>
                <c:pt idx="7">
                  <c:v>17.299999999999997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Staffordshire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8.4220217327663693</c:v>
                </c:pt>
                <c:pt idx="1">
                  <c:v>11.505243684730713</c:v>
                </c:pt>
                <c:pt idx="2">
                  <c:v>15.274625657111743</c:v>
                </c:pt>
                <c:pt idx="3">
                  <c:v>11.540966422388795</c:v>
                </c:pt>
                <c:pt idx="4">
                  <c:v>12.415497745532248</c:v>
                </c:pt>
                <c:pt idx="5">
                  <c:v>9.9999327102300644</c:v>
                </c:pt>
                <c:pt idx="6">
                  <c:v>8.508924807630601</c:v>
                </c:pt>
                <c:pt idx="7">
                  <c:v>13.29934688181641</c:v>
                </c:pt>
                <c:pt idx="8">
                  <c:v>13.599504261089161</c:v>
                </c:pt>
                <c:pt idx="9">
                  <c:v>7.5116666211827638</c:v>
                </c:pt>
                <c:pt idx="10">
                  <c:v>5.2363521702174332</c:v>
                </c:pt>
                <c:pt idx="11">
                  <c:v>4.1194626427946357</c:v>
                </c:pt>
                <c:pt idx="12">
                  <c:v>3.7164024147963959</c:v>
                </c:pt>
                <c:pt idx="13">
                  <c:v>11.036644687060857</c:v>
                </c:pt>
                <c:pt idx="14">
                  <c:v>2.7775301242001742</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Staffordshire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50.8</c:v>
                </c:pt>
                <c:pt idx="1">
                  <c:v>51.699999999999996</c:v>
                </c:pt>
                <c:pt idx="2">
                  <c:v>52.1</c:v>
                </c:pt>
                <c:pt idx="3">
                  <c:v>49.9</c:v>
                </c:pt>
                <c:pt idx="4">
                  <c:v>51.2</c:v>
                </c:pt>
                <c:pt idx="5">
                  <c:v>48.800000000000004</c:v>
                </c:pt>
                <c:pt idx="6">
                  <c:v>52.2</c:v>
                </c:pt>
                <c:pt idx="7">
                  <c:v>51.8</c:v>
                </c:pt>
                <c:pt idx="8">
                  <c:v>53.900000000000006</c:v>
                </c:pt>
                <c:pt idx="9">
                  <c:v>54.599999999999994</c:v>
                </c:pt>
                <c:pt idx="10">
                  <c:v>54.599999999999994</c:v>
                </c:pt>
                <c:pt idx="11">
                  <c:v>52.5</c:v>
                </c:pt>
                <c:pt idx="12">
                  <c:v>51.900000000000006</c:v>
                </c:pt>
                <c:pt idx="13">
                  <c:v>53.899999999999991</c:v>
                </c:pt>
                <c:pt idx="14">
                  <c:v>54.800000000000004</c:v>
                </c:pt>
                <c:pt idx="15">
                  <c:v>61.499999999999993</c:v>
                </c:pt>
                <c:pt idx="16">
                  <c:v>58.4</c:v>
                </c:pt>
                <c:pt idx="17">
                  <c:v>58.199999999999996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106680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686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Staffordshire follows a very similar path to rural, but moves from being marginally below for the period 2004 to 2012, to being marginally above that of 'Rural as a Region' from 2013 to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Staffordshire,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Staffordshire,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Staffordshire's economic inactivity rate very closely follows that of the </a:t>
          </a:r>
          <a:r>
            <a:rPr lang="en-GB" sz="1100">
              <a:latin typeface="Avenir Next LT Pro" panose="020B0504020202020204" pitchFamily="34" charset="0"/>
            </a:rPr>
            <a:t>rural situation, dropping below and moving above</a:t>
          </a:r>
          <a:r>
            <a:rPr lang="en-GB" sz="1100" baseline="0">
              <a:latin typeface="Avenir Next LT Pro" panose="020B0504020202020204" pitchFamily="34" charset="0"/>
            </a:rPr>
            <a:t> over the period 2004 to 2021</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Staffordshire shows a general trend of decrease from 2014 to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Staffordshire has been less stable and has seen some significant movements from year to year.</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Staffordshire in general has a lower proportion of employed people in skilled employment than seen for England or 'Rural as a Region'.</a:t>
          </a:r>
          <a:endParaRPr lang="en-GB" sz="1100">
            <a:latin typeface="Avenir Next LT Pro" panose="020B0504020202020204" pitchFamily="34" charset="0"/>
          </a:endParaRPr>
        </a:p>
      </xdr:txBody>
    </xdr:sp>
    <xdr:clientData/>
  </xdr:twoCellAnchor>
  <xdr:twoCellAnchor>
    <xdr:from>
      <xdr:col>0</xdr:col>
      <xdr:colOff>609600</xdr:colOff>
      <xdr:row>21</xdr:row>
      <xdr:rowOff>7620</xdr:rowOff>
    </xdr:from>
    <xdr:to>
      <xdr:col>1</xdr:col>
      <xdr:colOff>2590800</xdr:colOff>
      <xdr:row>22</xdr:row>
      <xdr:rowOff>182880</xdr:rowOff>
    </xdr:to>
    <xdr:sp macro="" textlink="">
      <xdr:nvSpPr>
        <xdr:cNvPr id="20" name="TextBox 19">
          <a:extLst>
            <a:ext uri="{FF2B5EF4-FFF2-40B4-BE49-F238E27FC236}">
              <a16:creationId xmlns:a16="http://schemas.microsoft.com/office/drawing/2014/main" id="{D8646631-1C84-4AF7-97FA-C3637AC478DD}"/>
            </a:ext>
          </a:extLst>
        </xdr:cNvPr>
        <xdr:cNvSpPr txBox="1"/>
      </xdr:nvSpPr>
      <xdr:spPr>
        <a:xfrm>
          <a:off x="609600" y="75819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Staffordshire follows very closely that of 'Rural as a Region'.</a:t>
          </a:r>
          <a:endParaRPr lang="en-GB" sz="1100">
            <a:latin typeface="Avenir Next LT Pro" panose="020B0504020202020204" pitchFamily="34" charset="0"/>
          </a:endParaRPr>
        </a:p>
      </xdr:txBody>
    </xdr:sp>
    <xdr:clientData/>
  </xdr:twoCellAnchor>
  <xdr:twoCellAnchor>
    <xdr:from>
      <xdr:col>0</xdr:col>
      <xdr:colOff>594360</xdr:colOff>
      <xdr:row>12</xdr:row>
      <xdr:rowOff>533400</xdr:rowOff>
    </xdr:from>
    <xdr:to>
      <xdr:col>1</xdr:col>
      <xdr:colOff>2575560</xdr:colOff>
      <xdr:row>14</xdr:row>
      <xdr:rowOff>38100</xdr:rowOff>
    </xdr:to>
    <xdr:sp macro="" textlink="">
      <xdr:nvSpPr>
        <xdr:cNvPr id="21" name="TextBox 20">
          <a:extLst>
            <a:ext uri="{FF2B5EF4-FFF2-40B4-BE49-F238E27FC236}">
              <a16:creationId xmlns:a16="http://schemas.microsoft.com/office/drawing/2014/main" id="{788DCA2E-B9D5-4943-985A-C37D3C5A74EF}"/>
            </a:ext>
          </a:extLst>
        </xdr:cNvPr>
        <xdr:cNvSpPr txBox="1"/>
      </xdr:nvSpPr>
      <xdr:spPr>
        <a:xfrm>
          <a:off x="594360" y="35204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Staffordshire roughly follows a similar path to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128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Staffordshire</v>
      </c>
      <c r="G12" s="88" t="str">
        <f>IFERROR(VLOOKUP(F12,GVA!B244:B552,1,FALSE),VLOOKUP(F12,GVA!B6:C230,2,FALSE))</f>
        <v/>
      </c>
      <c r="H12" s="89" t="str">
        <f>IF(F12=G12,"",G12)</f>
        <v/>
      </c>
      <c r="I12" s="76">
        <f>IFERROR(VLOOKUP($F12,GVA!$B$7:$S$230,GVA!D$3,FALSE),VLOOKUP($F12,GVA!$B$244:$T$554,GVA!E$3,FALSE))</f>
        <v>22.01</v>
      </c>
      <c r="J12" s="77">
        <f>IFERROR(VLOOKUP($F12,GVA!$B$7:$S$230,GVA!E$3,FALSE),VLOOKUP($F12,GVA!$B$244:$T$554,GVA!F$3,FALSE))</f>
        <v>23.2</v>
      </c>
      <c r="K12" s="77">
        <f>IFERROR(VLOOKUP($F12,GVA!$B$7:$S$230,GVA!F$3,FALSE),VLOOKUP($F12,GVA!$B$244:$T$554,GVA!G$3,FALSE))</f>
        <v>23.69</v>
      </c>
      <c r="L12" s="77">
        <f>IFERROR(VLOOKUP($F12,GVA!$B$7:$S$230,GVA!G$3,FALSE),VLOOKUP($F12,GVA!$B$244:$T$554,GVA!H$3,FALSE))</f>
        <v>24.02</v>
      </c>
      <c r="M12" s="77">
        <f>IFERROR(VLOOKUP($F12,GVA!$B$7:$S$230,GVA!H$3,FALSE),VLOOKUP($F12,GVA!$B$244:$T$554,GVA!I$3,FALSE))</f>
        <v>24.38</v>
      </c>
      <c r="N12" s="77">
        <f>IFERROR(VLOOKUP($F12,GVA!$B$7:$S$230,GVA!I$3,FALSE),VLOOKUP($F12,GVA!$B$244:$T$554,GVA!J$3,FALSE))</f>
        <v>24.09</v>
      </c>
      <c r="O12" s="77">
        <f>IFERROR(VLOOKUP($F12,GVA!$B$7:$S$230,GVA!J$3,FALSE),VLOOKUP($F12,GVA!$B$244:$T$554,GVA!K$3,FALSE))</f>
        <v>25.63</v>
      </c>
      <c r="P12" s="77">
        <f>IFERROR(VLOOKUP($F12,GVA!$B$7:$S$230,GVA!K$3,FALSE),VLOOKUP($F12,GVA!$B$244:$T$554,GVA!L$3,FALSE))</f>
        <v>26.94</v>
      </c>
      <c r="Q12" s="77">
        <f>IFERROR(VLOOKUP($F12,GVA!$B$7:$S$230,GVA!L$3,FALSE),VLOOKUP($F12,GVA!$B$244:$T$554,GVA!M$3,FALSE))</f>
        <v>25.36</v>
      </c>
      <c r="R12" s="77">
        <f>IFERROR(VLOOKUP($F12,GVA!$B$7:$S$230,GVA!M$3,FALSE),VLOOKUP($F12,GVA!$B$244:$T$554,GVA!N$3,FALSE))</f>
        <v>25.43</v>
      </c>
      <c r="S12" s="77">
        <f>IFERROR(VLOOKUP($F12,GVA!$B$7:$S$230,GVA!N$3,FALSE),VLOOKUP($F12,GVA!$B$244:$T$554,GVA!O$3,FALSE))</f>
        <v>26.82</v>
      </c>
      <c r="T12" s="77">
        <f>IFERROR(VLOOKUP($F12,GVA!$B$7:$S$230,GVA!O$3,FALSE),VLOOKUP($F12,GVA!$B$244:$T$554,GVA!P$3,FALSE))</f>
        <v>27.19</v>
      </c>
      <c r="U12" s="77">
        <f>IFERROR(VLOOKUP($F12,GVA!$B$7:$S$230,GVA!P$3,FALSE),VLOOKUP($F12,GVA!$B$244:$T$554,GVA!Q$3,FALSE))</f>
        <v>28.35</v>
      </c>
      <c r="V12" s="77">
        <f>IFERROR(VLOOKUP($F12,GVA!$B$7:$S$230,GVA!Q$3,FALSE),VLOOKUP($F12,GVA!$B$244:$T$554,GVA!R$3,FALSE))</f>
        <v>28.49</v>
      </c>
      <c r="W12" s="77">
        <f>IFERROR(VLOOKUP($F12,GVA!$B$7:$S$230,GVA!R$3,FALSE),VLOOKUP($F12,GVA!$B$244:$T$554,GVA!S$3,FALSE))</f>
        <v>29.32</v>
      </c>
      <c r="X12" s="77">
        <f>IFERROR(VLOOKUP($F12,GVA!$B$7:$S$230,GVA!S$3,FALSE),VLOOKUP($F12,GVA!$B$244:$T$554,GVA!T$3,FALSE))</f>
        <v>30.4</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Staffordshire to Rural as a Region</v>
      </c>
      <c r="G15" s="102"/>
      <c r="H15" s="103"/>
      <c r="I15" s="74">
        <f>100*((I12-I13)/I13)</f>
        <v>-6.500048043613436</v>
      </c>
      <c r="J15" s="74">
        <f t="shared" ref="J15:X15" si="0">100*((J12-J13)/J13)</f>
        <v>-1.1704566200783064</v>
      </c>
      <c r="K15" s="74">
        <f t="shared" si="0"/>
        <v>-2.5260466414895215</v>
      </c>
      <c r="L15" s="74">
        <f t="shared" si="0"/>
        <v>-3.2955656524990178</v>
      </c>
      <c r="M15" s="74">
        <f t="shared" si="0"/>
        <v>-3.5015054918646773</v>
      </c>
      <c r="N15" s="74">
        <f t="shared" si="0"/>
        <v>-5.4283057049787162</v>
      </c>
      <c r="O15" s="74">
        <f t="shared" si="0"/>
        <v>-0.62085424004207279</v>
      </c>
      <c r="P15" s="74">
        <f t="shared" si="0"/>
        <v>2.9240404426312478</v>
      </c>
      <c r="Q15" s="74">
        <f t="shared" si="0"/>
        <v>-5.0568257788474531</v>
      </c>
      <c r="R15" s="74">
        <f t="shared" si="0"/>
        <v>-6.4176534756266248</v>
      </c>
      <c r="S15" s="74">
        <f t="shared" si="0"/>
        <v>-2.9127719815382549</v>
      </c>
      <c r="T15" s="74">
        <f t="shared" si="0"/>
        <v>-3.4037657965522299</v>
      </c>
      <c r="U15" s="74">
        <f t="shared" si="0"/>
        <v>-1.6888837514603554</v>
      </c>
      <c r="V15" s="74">
        <f t="shared" si="0"/>
        <v>-3.8176958784639137</v>
      </c>
      <c r="W15" s="74">
        <f t="shared" si="0"/>
        <v>-3.0243848658693904</v>
      </c>
      <c r="X15" s="74">
        <f t="shared" si="0"/>
        <v>-0.49526362754306946</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Staffordshire</v>
      </c>
      <c r="G20" s="88"/>
      <c r="H20" s="89"/>
      <c r="I20" s="80">
        <f>IF(VLOOKUP($F20,PAY!$A$11:$AE$349,4,FALSE)="-",#N/A,VLOOKUP($F20,PAY!$A$11:$AE$349,4,FALSE))</f>
        <v>440.8</v>
      </c>
      <c r="J20" s="80">
        <f>IF(VLOOKUP($F20,PAY!$A$11:$AE$349,6,FALSE)="-",#N/A,VLOOKUP($F20,PAY!$A$11:$AE$349,6,FALSE))</f>
        <v>442.5</v>
      </c>
      <c r="K20" s="80">
        <f>IF(VLOOKUP($F20,PAY!$A$11:$AE$349,8,FALSE)="-",#N/A,VLOOKUP($F20,PAY!$A$11:$AE$349,8,FALSE))</f>
        <v>461.9</v>
      </c>
      <c r="L20" s="80">
        <f>IF(VLOOKUP($F20,PAY!$A$11:$AE$349,10,FALSE)="-",#N/A,VLOOKUP($F20,PAY!$A$11:$AE$349,10,FALSE))</f>
        <v>457.3</v>
      </c>
      <c r="M20" s="80">
        <f>IF(VLOOKUP($F20,PAY!$A$11:$AE$349,12,FALSE)="-",#N/A,VLOOKUP($F20,PAY!$A$11:$AE$349,12,FALSE))</f>
        <v>445.4</v>
      </c>
      <c r="N20" s="80">
        <f>IF(VLOOKUP($F20,PAY!$A$11:$AE$349,14,FALSE)="-",#N/A,VLOOKUP($F20,PAY!$A$11:$AE$349,14,FALSE))</f>
        <v>480.8</v>
      </c>
      <c r="O20" s="80">
        <f>IF(VLOOKUP($F20,PAY!$A$11:$AE$349,16,FALSE)="-",#N/A,VLOOKUP($F20,PAY!$A$11:$AE$349,16,FALSE))</f>
        <v>464.2</v>
      </c>
      <c r="P20" s="80">
        <f>IF(VLOOKUP($F20,PAY!$A$11:$AE$349,18,FALSE)="-",#N/A,VLOOKUP($F20,PAY!$A$11:$AE$349,18,FALSE))</f>
        <v>469</v>
      </c>
      <c r="Q20" s="80">
        <f>IF(VLOOKUP($F20,PAY!$A$11:$AE$349,20,FALSE)="-",#N/A,VLOOKUP($F20,PAY!$A$11:$AE$349,20,FALSE))</f>
        <v>494.5</v>
      </c>
      <c r="R20" s="80">
        <f>IF(VLOOKUP($F20,PAY!$A$11:$AE$349,22,FALSE)="-",#N/A,VLOOKUP($F20,PAY!$A$11:$AE$349,22,FALSE))</f>
        <v>495</v>
      </c>
      <c r="S20" s="80">
        <f>IF(VLOOKUP($F20,PAY!$A$11:$AE$349,24,FALSE)="-",#N/A,VLOOKUP($F20,PAY!$A$11:$AE$349,24,FALSE))</f>
        <v>509.1</v>
      </c>
      <c r="T20" s="80">
        <f>IF(VLOOKUP($F20,PAY!$A$11:$AE$349,26,FALSE)="-",#N/A,VLOOKUP($F20,PAY!$A$11:$AE$349,26,FALSE))</f>
        <v>527.79999999999995</v>
      </c>
      <c r="U20" s="80">
        <f>IF(VLOOKUP($F20,PAY!$A$11:$AE$349,28,FALSE)="-",#N/A,VLOOKUP($F20,PAY!$A$11:$AE$349,28,FALSE))</f>
        <v>522.29999999999995</v>
      </c>
      <c r="V20" s="80">
        <f>IF(VLOOKUP($F20,PAY!$A$11:$AE$349,30,FALSE)="-",#N/A,VLOOKUP($F20,PAY!$A$11:$AE$349,30,FALSE))</f>
        <v>553.70000000000005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Staffordshire to Rural as a Region</v>
      </c>
      <c r="G23" s="102"/>
      <c r="H23" s="103"/>
      <c r="I23" s="74">
        <f>100*((I20-I21)/I21)</f>
        <v>1.8031713363581132</v>
      </c>
      <c r="J23" s="74">
        <f t="shared" ref="J23:V23" si="2">100*((J20-J21)/J21)</f>
        <v>1.2759626938261688</v>
      </c>
      <c r="K23" s="74">
        <f t="shared" si="2"/>
        <v>3.0767579355326813</v>
      </c>
      <c r="L23" s="74">
        <f t="shared" si="2"/>
        <v>1.4749337108444782</v>
      </c>
      <c r="M23" s="74">
        <f t="shared" si="2"/>
        <v>-2.1621501381929984</v>
      </c>
      <c r="N23" s="74">
        <f t="shared" si="2"/>
        <v>3.8058955032166768</v>
      </c>
      <c r="O23" s="74">
        <f t="shared" si="2"/>
        <v>-1.4023993504223882</v>
      </c>
      <c r="P23" s="74">
        <f t="shared" si="2"/>
        <v>-1.226043629984888</v>
      </c>
      <c r="Q23" s="74">
        <f t="shared" si="2"/>
        <v>1.0251079026923193</v>
      </c>
      <c r="R23" s="74">
        <f t="shared" si="2"/>
        <v>-1.7968131992315204</v>
      </c>
      <c r="S23" s="74">
        <f t="shared" si="2"/>
        <v>-1.0352536217282227</v>
      </c>
      <c r="T23" s="74">
        <f t="shared" si="2"/>
        <v>-1.1052693801345943</v>
      </c>
      <c r="U23" s="74">
        <f t="shared" si="2"/>
        <v>-1.6473444199922569</v>
      </c>
      <c r="V23" s="74">
        <f t="shared" si="2"/>
        <v>-1.8704719525293247</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Staffordshire</v>
      </c>
      <c r="G28" s="88"/>
      <c r="H28" s="89"/>
      <c r="I28" s="76">
        <f>VLOOKUP($F28,EMPLOYMENT!$A$6:$BW$345,6,FALSE)</f>
        <v>75.599999999999994</v>
      </c>
      <c r="J28" s="77">
        <f>VLOOKUP($F28,EMPLOYMENT!$A$6:$BW$345,10,FALSE)</f>
        <v>75.099999999999994</v>
      </c>
      <c r="K28" s="77">
        <f>VLOOKUP($F28,EMPLOYMENT!$A$6:$BW$345,14,FALSE)</f>
        <v>75.5</v>
      </c>
      <c r="L28" s="77">
        <f>VLOOKUP($F28,EMPLOYMENT!$A$6:$BW$345,18,FALSE)</f>
        <v>74.2</v>
      </c>
      <c r="M28" s="77">
        <f>VLOOKUP($F28,EMPLOYMENT!$A$6:$BW$345,22,FALSE)</f>
        <v>75.8</v>
      </c>
      <c r="N28" s="77">
        <f>VLOOKUP($F28,EMPLOYMENT!$A$6:$BW$345,26,FALSE)</f>
        <v>74.2</v>
      </c>
      <c r="O28" s="77">
        <f>VLOOKUP($F28,EMPLOYMENT!$A$6:$BW$345,30,FALSE)</f>
        <v>72</v>
      </c>
      <c r="P28" s="77">
        <f>VLOOKUP($F28,EMPLOYMENT!$A$6:$BW$345,34,FALSE)</f>
        <v>71</v>
      </c>
      <c r="Q28" s="77">
        <f>VLOOKUP($F28,EMPLOYMENT!$A$6:$BW$345,38,FALSE)</f>
        <v>73.400000000000006</v>
      </c>
      <c r="R28" s="77">
        <f>VLOOKUP($F28,EMPLOYMENT!$A$6:$BW$345,42,FALSE)</f>
        <v>74.8</v>
      </c>
      <c r="S28" s="77">
        <f>VLOOKUP($F28,EMPLOYMENT!$A$6:$BW$345,46,FALSE)</f>
        <v>73</v>
      </c>
      <c r="T28" s="77">
        <f>VLOOKUP($F28,EMPLOYMENT!$A$6:$BW$345,50,FALSE)</f>
        <v>77.099999999999994</v>
      </c>
      <c r="U28" s="77">
        <f>VLOOKUP($F28,EMPLOYMENT!$A$6:$BW$345,54,FALSE)</f>
        <v>78.3</v>
      </c>
      <c r="V28" s="77">
        <f>VLOOKUP($F28,EMPLOYMENT!$A$6:$BW$345,58,FALSE)</f>
        <v>79.3</v>
      </c>
      <c r="W28" s="77">
        <f>VLOOKUP($F28,EMPLOYMENT!$A$6:$BW$345,62,FALSE)</f>
        <v>78.7</v>
      </c>
      <c r="X28" s="77">
        <f>VLOOKUP($F28,EMPLOYMENT!$A$6:$BW$345,66,FALSE)</f>
        <v>79.099999999999994</v>
      </c>
      <c r="Y28" s="77">
        <f>VLOOKUP($F28,EMPLOYMENT!$A$6:$BW$345,70,FALSE)</f>
        <v>77.2</v>
      </c>
      <c r="Z28" s="77">
        <f>VLOOKUP($F28,EMPLOYMENT!$A$6:$BW$345,74,FALSE)</f>
        <v>77.3</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Staffordshire to Rural as a Region</v>
      </c>
      <c r="G31" s="102"/>
      <c r="H31" s="103"/>
      <c r="I31" s="74">
        <f>(I28-I29)</f>
        <v>-0.51134191940174389</v>
      </c>
      <c r="J31" s="74">
        <f t="shared" ref="J31:Z31" si="4">(J28-J29)</f>
        <v>-1.2129754666829626</v>
      </c>
      <c r="K31" s="74">
        <f t="shared" si="4"/>
        <v>-0.37318889948676315</v>
      </c>
      <c r="L31" s="74">
        <f t="shared" si="4"/>
        <v>-1.4404683026278349</v>
      </c>
      <c r="M31" s="74">
        <f t="shared" si="4"/>
        <v>6.4475626668254904E-2</v>
      </c>
      <c r="N31" s="74">
        <f t="shared" si="4"/>
        <v>-0.30953984287317837</v>
      </c>
      <c r="O31" s="74">
        <f t="shared" si="4"/>
        <v>-1.547133138969869</v>
      </c>
      <c r="P31" s="74">
        <f t="shared" si="4"/>
        <v>-2.7342954032776134</v>
      </c>
      <c r="Q31" s="74">
        <f t="shared" si="4"/>
        <v>-0.63315747546256773</v>
      </c>
      <c r="R31" s="74">
        <f t="shared" si="4"/>
        <v>5.5525070099790241E-2</v>
      </c>
      <c r="S31" s="74">
        <f t="shared" si="4"/>
        <v>-3.1088603400756085</v>
      </c>
      <c r="T31" s="74">
        <f t="shared" si="4"/>
        <v>-9.0531975609025039E-2</v>
      </c>
      <c r="U31" s="74">
        <f t="shared" si="4"/>
        <v>1.3283675182919552</v>
      </c>
      <c r="V31" s="74">
        <f t="shared" si="4"/>
        <v>1.2672131147540995</v>
      </c>
      <c r="W31" s="74">
        <f t="shared" si="4"/>
        <v>0.65184310658585787</v>
      </c>
      <c r="X31" s="74">
        <f t="shared" si="4"/>
        <v>0.50870062104328895</v>
      </c>
      <c r="Y31" s="74">
        <f t="shared" si="4"/>
        <v>0.18565370387079838</v>
      </c>
      <c r="Z31" s="74">
        <f t="shared" si="4"/>
        <v>1.1442419221209548</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Staffordshire</v>
      </c>
      <c r="G36" s="88" t="str">
        <f>IFERROR(VLOOKUP(F36,GDHI!B338:C574,2,FALSE),VLOOKUP(F36,GDHI!C3:C336,1,FALSE))</f>
        <v/>
      </c>
      <c r="H36" s="89" t="str">
        <f>IF(F36=G36,"",G36)</f>
        <v/>
      </c>
      <c r="I36" s="83">
        <f>IFERROR(VLOOKUP($F36,GDHI!$B$338:$U$574,GDHI!G$578,FALSE),VLOOKUP($F36,GDHI!$C$3:$U$336,GDHI!F$578,FALSE))</f>
        <v>13026</v>
      </c>
      <c r="J36" s="84">
        <f>IFERROR(VLOOKUP($F36,GDHI!$B$338:$U$574,GDHI!H$578,FALSE),VLOOKUP($F36,GDHI!$C$3:$U$336,GDHI!G$578,FALSE))</f>
        <v>13475</v>
      </c>
      <c r="K36" s="84">
        <f>IFERROR(VLOOKUP($F36,GDHI!$B$338:$U$574,GDHI!I$578,FALSE),VLOOKUP($F36,GDHI!$C$3:$U$336,GDHI!H$578,FALSE))</f>
        <v>14064</v>
      </c>
      <c r="L36" s="84">
        <f>IFERROR(VLOOKUP($F36,GDHI!$B$338:$U$574,GDHI!J$578,FALSE),VLOOKUP($F36,GDHI!$C$3:$U$336,GDHI!I$578,FALSE))</f>
        <v>14553</v>
      </c>
      <c r="M36" s="84">
        <f>IFERROR(VLOOKUP($F36,GDHI!$B$338:$U$574,GDHI!K$578,FALSE),VLOOKUP($F36,GDHI!$C$3:$U$336,GDHI!J$578,FALSE))</f>
        <v>15067</v>
      </c>
      <c r="N36" s="84">
        <f>IFERROR(VLOOKUP($F36,GDHI!$B$338:$U$574,GDHI!L$578,FALSE),VLOOKUP($F36,GDHI!$C$3:$U$336,GDHI!K$578,FALSE))</f>
        <v>15261</v>
      </c>
      <c r="O36" s="84">
        <f>IFERROR(VLOOKUP($F36,GDHI!$B$338:$U$574,GDHI!M$578,FALSE),VLOOKUP($F36,GDHI!$C$3:$U$336,GDHI!L$578,FALSE))</f>
        <v>15430</v>
      </c>
      <c r="P36" s="84">
        <f>IFERROR(VLOOKUP($F36,GDHI!$B$338:$U$574,GDHI!N$578,FALSE),VLOOKUP($F36,GDHI!$C$3:$U$336,GDHI!M$578,FALSE))</f>
        <v>15588</v>
      </c>
      <c r="Q36" s="84">
        <f>IFERROR(VLOOKUP($F36,GDHI!$B$338:$U$574,GDHI!O$578,FALSE),VLOOKUP($F36,GDHI!$C$3:$U$336,GDHI!N$578,FALSE))</f>
        <v>16046</v>
      </c>
      <c r="R36" s="84">
        <f>IFERROR(VLOOKUP($F36,GDHI!$B$338:$U$574,GDHI!P$578,FALSE),VLOOKUP($F36,GDHI!$C$3:$U$336,GDHI!O$578,FALSE))</f>
        <v>16596</v>
      </c>
      <c r="S36" s="84">
        <f>IFERROR(VLOOKUP($F36,GDHI!$B$338:$U$574,GDHI!Q$578,FALSE),VLOOKUP($F36,GDHI!$C$3:$U$336,GDHI!P$578,FALSE))</f>
        <v>17099</v>
      </c>
      <c r="T36" s="84">
        <f>IFERROR(VLOOKUP($F36,GDHI!$B$338:$U$574,GDHI!R$578,FALSE),VLOOKUP($F36,GDHI!$C$3:$U$336,GDHI!Q$578,FALSE))</f>
        <v>18100</v>
      </c>
      <c r="U36" s="84">
        <f>IFERROR(VLOOKUP($F36,GDHI!$B$338:$U$574,GDHI!S$578,FALSE),VLOOKUP($F36,GDHI!$C$3:$U$336,GDHI!R$578,FALSE))</f>
        <v>18124</v>
      </c>
      <c r="V36" s="84">
        <f>IFERROR(VLOOKUP($F36,GDHI!$B$338:$U$574,GDHI!T$578,FALSE),VLOOKUP($F36,GDHI!$C$3:$U$336,GDHI!S$578,FALSE))</f>
        <v>18451</v>
      </c>
      <c r="W36" s="84">
        <f>IFERROR(VLOOKUP($F36,GDHI!$B$338:$U$574,GDHI!U$578,FALSE),VLOOKUP($F36,GDHI!$C$3:$U$336,GDHI!T$578,FALSE))</f>
        <v>19234</v>
      </c>
      <c r="X36" s="84">
        <f>IFERROR(VLOOKUP($F36,GDHI!$B$338:$U$574,GDHI!V$578,FALSE),VLOOKUP($F36,GDHI!$C$3:$U$336,GDHI!U$578,FALSE))</f>
        <v>19692</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Staffordshire to Rural as a Region</v>
      </c>
      <c r="G39" s="102"/>
      <c r="H39" s="103"/>
      <c r="I39" s="74">
        <f>100*((I36-I37)/I37)</f>
        <v>-11.444984533804684</v>
      </c>
      <c r="J39" s="74">
        <f t="shared" ref="J39:X39" si="6">100*((J36-J37)/J37)</f>
        <v>-12.166005396215205</v>
      </c>
      <c r="K39" s="74">
        <f t="shared" si="6"/>
        <v>-11.681472693141828</v>
      </c>
      <c r="L39" s="74">
        <f t="shared" si="6"/>
        <v>-12.162945750136348</v>
      </c>
      <c r="M39" s="74">
        <f t="shared" si="6"/>
        <v>-11.699735509721107</v>
      </c>
      <c r="N39" s="74">
        <f t="shared" si="6"/>
        <v>-11.749993976339065</v>
      </c>
      <c r="O39" s="74">
        <f t="shared" si="6"/>
        <v>-11.868440467407607</v>
      </c>
      <c r="P39" s="74">
        <f t="shared" si="6"/>
        <v>-12.427200569286862</v>
      </c>
      <c r="Q39" s="74">
        <f t="shared" si="6"/>
        <v>-12.633736373571235</v>
      </c>
      <c r="R39" s="74">
        <f t="shared" si="6"/>
        <v>-12.069236305286141</v>
      </c>
      <c r="S39" s="74">
        <f t="shared" si="6"/>
        <v>-11.842810294445291</v>
      </c>
      <c r="T39" s="74">
        <f t="shared" si="6"/>
        <v>-11.527597873031272</v>
      </c>
      <c r="U39" s="74">
        <f t="shared" si="6"/>
        <v>-12.125654837078619</v>
      </c>
      <c r="V39" s="74">
        <f t="shared" si="6"/>
        <v>-11.99346318013561</v>
      </c>
      <c r="W39" s="74">
        <f t="shared" si="6"/>
        <v>-11.939818544321259</v>
      </c>
      <c r="X39" s="74">
        <f t="shared" si="6"/>
        <v>-11.556774392588034</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Staffordshire</v>
      </c>
      <c r="G44" s="88"/>
      <c r="H44" s="89"/>
      <c r="I44" s="76">
        <f>VLOOKUP($F44,'LOW PAID'!$A$9:$N$444,6,FALSE)</f>
        <v>28.8</v>
      </c>
      <c r="J44" s="77">
        <f>VLOOKUP($F44,'LOW PAID'!$P$9:$W$444,6,FALSE)</f>
        <v>27.4</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Staffordshire to Rural as a Region</v>
      </c>
      <c r="G47" s="102"/>
      <c r="H47" s="103"/>
      <c r="I47" s="74">
        <f>(I44-I45)</f>
        <v>3.6061253217868838</v>
      </c>
      <c r="J47" s="74">
        <f>(J44-J45)</f>
        <v>1.7138834909699447</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Staffordshire</v>
      </c>
      <c r="G52" s="88"/>
      <c r="H52" s="89"/>
      <c r="I52" s="76">
        <f>VLOOKUP($F52,INACTIVITY!$A$6:$BW$345,6,FALSE)</f>
        <v>21.7</v>
      </c>
      <c r="J52" s="77">
        <f>VLOOKUP($F52,INACTIVITY!$A$6:$BW$345,10,FALSE)</f>
        <v>22.4</v>
      </c>
      <c r="K52" s="77">
        <f>VLOOKUP($F52,INACTIVITY!$A$6:$BW$345,14,FALSE)</f>
        <v>21.6</v>
      </c>
      <c r="L52" s="77">
        <f>VLOOKUP($F52,INACTIVITY!$A$6:$BW$345,18,FALSE)</f>
        <v>22.3</v>
      </c>
      <c r="M52" s="77">
        <f>VLOOKUP($F52,INACTIVITY!$A$6:$BW$345,22,FALSE)</f>
        <v>20.6</v>
      </c>
      <c r="N52" s="77">
        <f>VLOOKUP($F52,INACTIVITY!$A$6:$BW$345,26,FALSE)</f>
        <v>20.100000000000001</v>
      </c>
      <c r="O52" s="77">
        <f>VLOOKUP($F52,INACTIVITY!$A$6:$BW$345,30,FALSE)</f>
        <v>22.8</v>
      </c>
      <c r="P52" s="77">
        <f>VLOOKUP($F52,INACTIVITY!$A$6:$BW$345,34,FALSE)</f>
        <v>22.7</v>
      </c>
      <c r="Q52" s="77">
        <f>VLOOKUP($F52,INACTIVITY!$A$6:$BW$345,38,FALSE)</f>
        <v>21.8</v>
      </c>
      <c r="R52" s="77">
        <f>VLOOKUP($F52,INACTIVITY!$A$6:$BW$345,42,FALSE)</f>
        <v>21.6</v>
      </c>
      <c r="S52" s="77">
        <f>VLOOKUP($F52,INACTIVITY!$A$6:$BW$345,46,FALSE)</f>
        <v>23.3</v>
      </c>
      <c r="T52" s="77">
        <f>VLOOKUP($F52,INACTIVITY!$A$6:$BW$345,50,FALSE)</f>
        <v>19.399999999999999</v>
      </c>
      <c r="U52" s="77">
        <f>VLOOKUP($F52,INACTIVITY!$A$6:$BW$345,54,FALSE)</f>
        <v>18.3</v>
      </c>
      <c r="V52" s="77">
        <f>VLOOKUP($F52,INACTIVITY!$A$6:$BW$345,58,FALSE)</f>
        <v>17.3</v>
      </c>
      <c r="W52" s="77">
        <f>VLOOKUP($F52,INACTIVITY!$A$6:$BW$345,62,FALSE)</f>
        <v>18.8</v>
      </c>
      <c r="X52" s="77">
        <f>VLOOKUP($F52,INACTIVITY!$A$6:$BW$345,66,FALSE)</f>
        <v>18.3</v>
      </c>
      <c r="Y52" s="77">
        <f>VLOOKUP($F52,INACTIVITY!$A$6:$BW$345,70,FALSE)</f>
        <v>18.399999999999999</v>
      </c>
      <c r="Z52" s="77">
        <f>VLOOKUP($F52,INACTIVITY!$A$6:$BW$345,74,FALSE)</f>
        <v>19.8</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Staffordshire to Rural as a Region</v>
      </c>
      <c r="G55" s="102"/>
      <c r="H55" s="103"/>
      <c r="I55" s="74">
        <f>(I52-I53)</f>
        <v>0.30435542838976204</v>
      </c>
      <c r="J55" s="74">
        <f t="shared" ref="J55:Z55" si="10">(J52-J53)</f>
        <v>1.391477272727272</v>
      </c>
      <c r="K55" s="74">
        <f t="shared" si="10"/>
        <v>0.73753460654122449</v>
      </c>
      <c r="L55" s="74">
        <f t="shared" si="10"/>
        <v>0.98593466846336142</v>
      </c>
      <c r="M55" s="74">
        <f t="shared" si="10"/>
        <v>-0.23500231089200341</v>
      </c>
      <c r="N55" s="74">
        <f t="shared" si="10"/>
        <v>-0.83314375792043904</v>
      </c>
      <c r="O55" s="74">
        <f t="shared" si="10"/>
        <v>1.1080628724948269</v>
      </c>
      <c r="P55" s="74">
        <f t="shared" si="10"/>
        <v>1.2057542192465505</v>
      </c>
      <c r="Q55" s="74">
        <f t="shared" si="10"/>
        <v>0.61745120551090693</v>
      </c>
      <c r="R55" s="74">
        <f t="shared" si="10"/>
        <v>0.82540690256123028</v>
      </c>
      <c r="S55" s="74">
        <f t="shared" si="10"/>
        <v>3.0267895440276007</v>
      </c>
      <c r="T55" s="74">
        <f t="shared" si="10"/>
        <v>-0.29619468340695931</v>
      </c>
      <c r="U55" s="74">
        <f t="shared" si="10"/>
        <v>-1.5524293470694701</v>
      </c>
      <c r="V55" s="74">
        <f t="shared" si="10"/>
        <v>-1.9532773342803758</v>
      </c>
      <c r="W55" s="74">
        <f t="shared" si="10"/>
        <v>-0.37695600918284811</v>
      </c>
      <c r="X55" s="74">
        <f t="shared" si="10"/>
        <v>-0.55206494936492945</v>
      </c>
      <c r="Y55" s="74">
        <f t="shared" si="10"/>
        <v>-1.3725827218714635</v>
      </c>
      <c r="Z55" s="74">
        <f t="shared" si="10"/>
        <v>-1.2851797756300698</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Staffordshire</v>
      </c>
      <c r="G60" s="88"/>
      <c r="H60" s="89"/>
      <c r="I60" s="76">
        <f>VLOOKUP($F60,DISABILITY!$A$718:$I$1052,DISABILITY!B$1053,FALSE)</f>
        <v>33.199999999999996</v>
      </c>
      <c r="J60" s="77">
        <f>VLOOKUP($F60,DISABILITY!$A$718:$I$1052,DISABILITY!C$1053,FALSE)</f>
        <v>29.1</v>
      </c>
      <c r="K60" s="77">
        <f>VLOOKUP($F60,DISABILITY!$A$718:$I$1052,DISABILITY!D$1053,FALSE)</f>
        <v>26.899999999999991</v>
      </c>
      <c r="L60" s="77">
        <f>VLOOKUP($F60,DISABILITY!$A$718:$I$1052,DISABILITY!E$1053,FALSE)</f>
        <v>27.300000000000004</v>
      </c>
      <c r="M60" s="77">
        <f>VLOOKUP($F60,DISABILITY!$A$718:$I$1052,DISABILITY!F$1053,FALSE)</f>
        <v>31.800000000000004</v>
      </c>
      <c r="N60" s="77">
        <f>VLOOKUP($F60,DISABILITY!$A$718:$I$1052,DISABILITY!G$1053,FALSE)</f>
        <v>30.399999999999991</v>
      </c>
      <c r="O60" s="77">
        <f>VLOOKUP($F60,DISABILITY!$A$718:$I$1052,DISABILITY!H$1053,FALSE)</f>
        <v>23.799999999999997</v>
      </c>
      <c r="P60" s="77">
        <f>VLOOKUP($F60,DISABILITY!$A$718:$I$1052,DISABILITY!I$1053,FALSE)</f>
        <v>17.299999999999997</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Staffordshire to Rural as a Region</v>
      </c>
      <c r="G63" s="102"/>
      <c r="H63" s="103"/>
      <c r="I63" s="74">
        <f>(I60-I61)</f>
        <v>5.7798434593527475</v>
      </c>
      <c r="J63" s="74">
        <f t="shared" ref="J63:P63" si="12">(J60-J61)</f>
        <v>1.7809555929488141</v>
      </c>
      <c r="K63" s="74">
        <f t="shared" si="12"/>
        <v>-1.219128361498214</v>
      </c>
      <c r="L63" s="74">
        <f t="shared" si="12"/>
        <v>1.3090654610033283</v>
      </c>
      <c r="M63" s="74">
        <f t="shared" si="12"/>
        <v>6.3247741813338862</v>
      </c>
      <c r="N63" s="74">
        <f t="shared" si="12"/>
        <v>4.8687523145580087</v>
      </c>
      <c r="O63" s="74">
        <f t="shared" si="12"/>
        <v>2.7777120030521019E-3</v>
      </c>
      <c r="P63" s="74">
        <f t="shared" si="12"/>
        <v>-8.0541779303421777</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Staffordshire</v>
      </c>
      <c r="G68" s="88"/>
      <c r="H68" s="89"/>
      <c r="I68" s="76">
        <f>VLOOKUP($F68,'WORKLESS HOUSEHOLDS'!$DW$4:$EC$397,7,FALSE)</f>
        <v>8.4220217327663693</v>
      </c>
      <c r="J68" s="77">
        <f>VLOOKUP($F68,'WORKLESS HOUSEHOLDS'!$DN$4:$DT$397,7,FALSE)</f>
        <v>11.505243684730713</v>
      </c>
      <c r="K68" s="77">
        <f>VLOOKUP($F68,'WORKLESS HOUSEHOLDS'!$DE$4:$DK$397,7,FALSE)</f>
        <v>15.274625657111743</v>
      </c>
      <c r="L68" s="77">
        <f>VLOOKUP($F68,'WORKLESS HOUSEHOLDS'!$CV$4:$DB$397,7,FALSE)</f>
        <v>11.540966422388795</v>
      </c>
      <c r="M68" s="77">
        <f>VLOOKUP($F68,'WORKLESS HOUSEHOLDS'!$CM$4:$CS$397,7,FALSE)</f>
        <v>12.415497745532248</v>
      </c>
      <c r="N68" s="77">
        <f>VLOOKUP($F68,'WORKLESS HOUSEHOLDS'!$CD$4:$CJ$397,7,FALSE)</f>
        <v>9.9999327102300644</v>
      </c>
      <c r="O68" s="77">
        <f>VLOOKUP($F68,'WORKLESS HOUSEHOLDS'!$BU$4:$CA$397,7,FALSE)</f>
        <v>8.508924807630601</v>
      </c>
      <c r="P68" s="77">
        <f>VLOOKUP($F68,'WORKLESS HOUSEHOLDS'!$BL$4:$BR$397,7,FALSE)</f>
        <v>13.29934688181641</v>
      </c>
      <c r="Q68" s="77">
        <f>VLOOKUP($F68,'WORKLESS HOUSEHOLDS'!$BC$4:$BI$397,7,FALSE)</f>
        <v>13.599504261089161</v>
      </c>
      <c r="R68" s="77">
        <f>VLOOKUP($F68,'WORKLESS HOUSEHOLDS'!$AT$4:$AZ$397,7,FALSE)</f>
        <v>7.5116666211827638</v>
      </c>
      <c r="S68" s="77">
        <f>VLOOKUP($F68,'WORKLESS HOUSEHOLDS'!$AK$4:$AQ$397,7,FALSE)</f>
        <v>5.2363521702174332</v>
      </c>
      <c r="T68" s="77">
        <f>VLOOKUP($F68,'WORKLESS HOUSEHOLDS'!$AB$4:$AH$397,7,FALSE)</f>
        <v>4.1194626427946357</v>
      </c>
      <c r="U68" s="77">
        <f>VLOOKUP($F68,'WORKLESS HOUSEHOLDS'!$S$4:$Y$397,7,FALSE)</f>
        <v>3.7164024147963959</v>
      </c>
      <c r="V68" s="77">
        <f>VLOOKUP($F68,'WORKLESS HOUSEHOLDS'!$J$4:$P$397,7,FALSE)</f>
        <v>11.036644687060857</v>
      </c>
      <c r="W68" s="77">
        <f>VLOOKUP($F68,'WORKLESS HOUSEHOLDS'!$B$4:$H$397,7,FALSE)</f>
        <v>2.7775301242001742</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Staffordshire to Rural as a Region</v>
      </c>
      <c r="G71" s="102"/>
      <c r="H71" s="103"/>
      <c r="I71" s="74">
        <f>(I68-I69)</f>
        <v>-1.5899241298203215</v>
      </c>
      <c r="J71" s="74">
        <f t="shared" ref="J71:W71" si="14">(J68-J69)</f>
        <v>0.59408884725568889</v>
      </c>
      <c r="K71" s="74">
        <f t="shared" si="14"/>
        <v>4.9813799279558992</v>
      </c>
      <c r="L71" s="74">
        <f t="shared" si="14"/>
        <v>0.57495976105906266</v>
      </c>
      <c r="M71" s="74">
        <f t="shared" si="14"/>
        <v>0.72171856434377446</v>
      </c>
      <c r="N71" s="74">
        <f t="shared" si="14"/>
        <v>-1.9011669690253168</v>
      </c>
      <c r="O71" s="74">
        <f t="shared" si="14"/>
        <v>-2.5263284401119108</v>
      </c>
      <c r="P71" s="74">
        <f t="shared" si="14"/>
        <v>3.6078489960485722</v>
      </c>
      <c r="Q71" s="74">
        <f t="shared" si="14"/>
        <v>2.7943260006907487</v>
      </c>
      <c r="R71" s="74">
        <f t="shared" si="14"/>
        <v>-3.19442970254679</v>
      </c>
      <c r="S71" s="74">
        <f t="shared" si="14"/>
        <v>-4.9163926579314481</v>
      </c>
      <c r="T71" s="74">
        <f t="shared" si="14"/>
        <v>-5.7842055518381148</v>
      </c>
      <c r="U71" s="74">
        <f t="shared" si="14"/>
        <v>-7.0456477498830798</v>
      </c>
      <c r="V71" s="74">
        <f t="shared" si="14"/>
        <v>1.097776210521209</v>
      </c>
      <c r="W71" s="74">
        <f t="shared" si="14"/>
        <v>-7.575171298984019</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Staffordshire</v>
      </c>
      <c r="G76" s="88"/>
      <c r="H76" s="89"/>
      <c r="I76" s="76">
        <f>VLOOKUP($F76,'SKILLED EMPLOYMENT'!$A$1506:$BW$1841,6,FALSE)</f>
        <v>50.8</v>
      </c>
      <c r="J76" s="77">
        <f>VLOOKUP($F76,'SKILLED EMPLOYMENT'!$A$1506:$BW$1841,10,FALSE)</f>
        <v>51.699999999999996</v>
      </c>
      <c r="K76" s="77">
        <f>VLOOKUP($F76,'SKILLED EMPLOYMENT'!$A$1506:$BW$1841,14,FALSE)</f>
        <v>52.1</v>
      </c>
      <c r="L76" s="77">
        <f>VLOOKUP($F76,'SKILLED EMPLOYMENT'!$A$1506:$BW$1841,18,FALSE)</f>
        <v>49.9</v>
      </c>
      <c r="M76" s="77">
        <f>VLOOKUP($F76,'SKILLED EMPLOYMENT'!$A$1506:$BW$1841,22,FALSE)</f>
        <v>51.2</v>
      </c>
      <c r="N76" s="77">
        <f>VLOOKUP($F76,'SKILLED EMPLOYMENT'!$A$1506:$BW$1841,26,FALSE)</f>
        <v>48.800000000000004</v>
      </c>
      <c r="O76" s="77">
        <f>VLOOKUP($F76,'SKILLED EMPLOYMENT'!$A$1506:$BW$1841,30,FALSE)</f>
        <v>52.2</v>
      </c>
      <c r="P76" s="77">
        <f>VLOOKUP($F76,'SKILLED EMPLOYMENT'!$A$1506:$BW$1841,34,FALSE)</f>
        <v>51.8</v>
      </c>
      <c r="Q76" s="77">
        <f>VLOOKUP($F76,'SKILLED EMPLOYMENT'!$A$1506:$BW$1841,38,FALSE)</f>
        <v>53.900000000000006</v>
      </c>
      <c r="R76" s="77">
        <f>VLOOKUP($F76,'SKILLED EMPLOYMENT'!$A$1506:$BW$1841,42,FALSE)</f>
        <v>54.599999999999994</v>
      </c>
      <c r="S76" s="77">
        <f>VLOOKUP($F76,'SKILLED EMPLOYMENT'!$A$1506:$BW$1841,46,FALSE)</f>
        <v>54.599999999999994</v>
      </c>
      <c r="T76" s="77">
        <f>VLOOKUP($F76,'SKILLED EMPLOYMENT'!$A$1506:$BW$1841,50,FALSE)</f>
        <v>52.5</v>
      </c>
      <c r="U76" s="77">
        <f>VLOOKUP($F76,'SKILLED EMPLOYMENT'!$A$1506:$BW$1841,54,FALSE)</f>
        <v>51.900000000000006</v>
      </c>
      <c r="V76" s="77">
        <f>VLOOKUP($F76,'SKILLED EMPLOYMENT'!$A$1506:$BW$1841,58,FALSE)</f>
        <v>53.899999999999991</v>
      </c>
      <c r="W76" s="77">
        <f>VLOOKUP($F76,'SKILLED EMPLOYMENT'!$A$1506:$BW$1841,62,FALSE)</f>
        <v>54.800000000000004</v>
      </c>
      <c r="X76" s="77">
        <f>VLOOKUP($F76,'SKILLED EMPLOYMENT'!$A$1506:$BW$1841,66,FALSE)</f>
        <v>61.499999999999993</v>
      </c>
      <c r="Y76" s="77">
        <f>VLOOKUP($F76,'SKILLED EMPLOYMENT'!$A$1506:$BW$1841,70,FALSE)</f>
        <v>58.4</v>
      </c>
      <c r="Z76" s="77">
        <f>VLOOKUP($F76,'SKILLED EMPLOYMENT'!$A$1506:$BW$1841,74,FALSE)</f>
        <v>58.199999999999996</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Staffordshire to Rural as a Region</v>
      </c>
      <c r="G79" s="102"/>
      <c r="H79" s="103"/>
      <c r="I79" s="74">
        <f>(I76-I77)</f>
        <v>-1.9000000000000057</v>
      </c>
      <c r="J79" s="74">
        <f t="shared" ref="J79:Z79" si="17">(J76-J77)</f>
        <v>-1.2000000000000028</v>
      </c>
      <c r="K79" s="74">
        <f t="shared" si="17"/>
        <v>-1.3999999999999986</v>
      </c>
      <c r="L79" s="74">
        <f t="shared" si="17"/>
        <v>-4.1000000000000014</v>
      </c>
      <c r="M79" s="74">
        <f t="shared" si="17"/>
        <v>-2.8999999999999986</v>
      </c>
      <c r="N79" s="74">
        <f t="shared" si="17"/>
        <v>-5.5999999999999943</v>
      </c>
      <c r="O79" s="74">
        <f t="shared" si="17"/>
        <v>-3.1999999999999957</v>
      </c>
      <c r="P79" s="74">
        <f t="shared" si="17"/>
        <v>-3.8000000000000043</v>
      </c>
      <c r="Q79" s="74">
        <f t="shared" si="17"/>
        <v>-1.4999999999999929</v>
      </c>
      <c r="R79" s="74">
        <f t="shared" si="17"/>
        <v>-1.6000000000000085</v>
      </c>
      <c r="S79" s="74">
        <f t="shared" si="17"/>
        <v>-1.6000000000000085</v>
      </c>
      <c r="T79" s="74">
        <f t="shared" si="17"/>
        <v>-4.2999999999999972</v>
      </c>
      <c r="U79" s="74">
        <f t="shared" si="17"/>
        <v>-4.6999999999999957</v>
      </c>
      <c r="V79" s="74">
        <f t="shared" si="17"/>
        <v>-3.2000000000000099</v>
      </c>
      <c r="W79" s="74">
        <f t="shared" si="17"/>
        <v>-2.9999999999999929</v>
      </c>
      <c r="X79" s="74">
        <f t="shared" si="17"/>
        <v>2.6999999999999957</v>
      </c>
      <c r="Y79" s="74">
        <f t="shared" si="17"/>
        <v>-0.30000000000000426</v>
      </c>
      <c r="Z79" s="74">
        <f t="shared" si="17"/>
        <v>-0.20000000000000284</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UJP2YqPBpHzA/1PB0sK+AjqSotTNRs9shJ8NfFUaEB+m/oIFwqqHGMkl5R2mujxqeidkbXzoJoeGYFuLWR33xw==" saltValue="n46Vb/554KUP2bOEc1UoMA=="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2022-08-02T13:23:39Z</dcterms:modified>
</cp:coreProperties>
</file>