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7950528F-419C-41C2-818F-6B10EAFCD030}" xr6:coauthVersionLast="47" xr6:coauthVersionMax="47" xr10:uidLastSave="{78230588-4B40-4348-874B-32D236FA93B5}"/>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<sst xmlns="http://schemas.openxmlformats.org/spreadsheetml/2006/main" count="32859" uniqueCount="1676">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</sst>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Stratford-on-Avon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26.43</c:v>
                </c:pt>
                <c:pt idx="1">
                  <c:v>26.09</c:v>
                </c:pt>
                <c:pt idx="2">
                  <c:v>27.55</c:v>
                </c:pt>
                <c:pt idx="3">
                  <c:v>27.61</c:v>
                </c:pt>
                <c:pt idx="4">
                  <c:v>27.76</c:v>
                </c:pt>
                <c:pt idx="5">
                  <c:v>28.01</c:v>
                </c:pt>
                <c:pt idx="6">
                  <c:v>29.3</c:v>
                </c:pt>
                <c:pt idx="7">
                  <c:v>30.9</c:v>
                </c:pt>
                <c:pt idx="8">
                  <c:v>32.479999999999997</c:v>
                </c:pt>
                <c:pt idx="9">
                  <c:v>33.19</c:v>
                </c:pt>
                <c:pt idx="10">
                  <c:v>33.17</c:v>
                </c:pt>
                <c:pt idx="11">
                  <c:v>33.549999999999997</c:v>
                </c:pt>
                <c:pt idx="12">
                  <c:v>35.15</c:v>
                </c:pt>
                <c:pt idx="13">
                  <c:v>37.479999999999997</c:v>
                </c:pt>
                <c:pt idx="14">
                  <c:v>39.39</c:v>
                </c:pt>
                <c:pt idx="15">
                  <c:v>40.200000000000003</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Stratford-on-Avon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494.1</c:v>
                </c:pt>
                <c:pt idx="1">
                  <c:v>495.4</c:v>
                </c:pt>
                <c:pt idx="2">
                  <c:v>497.4</c:v>
                </c:pt>
                <c:pt idx="3">
                  <c:v>485.7</c:v>
                </c:pt>
                <c:pt idx="4">
                  <c:v>520</c:v>
                </c:pt>
                <c:pt idx="5">
                  <c:v>536.6</c:v>
                </c:pt>
                <c:pt idx="6">
                  <c:v>546.9</c:v>
                </c:pt>
                <c:pt idx="7">
                  <c:v>510.2</c:v>
                </c:pt>
                <c:pt idx="8">
                  <c:v>566.4</c:v>
                </c:pt>
                <c:pt idx="9">
                  <c:v>573.4</c:v>
                </c:pt>
                <c:pt idx="10">
                  <c:v>598.6</c:v>
                </c:pt>
                <c:pt idx="11">
                  <c:v>545.70000000000005</c:v>
                </c:pt>
                <c:pt idx="12">
                  <c:v>580</c:v>
                </c:pt>
                <c:pt idx="13">
                  <c:v>650.20000000000005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Stratford-on-Avon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79.400000000000006</c:v>
                </c:pt>
                <c:pt idx="1">
                  <c:v>79</c:v>
                </c:pt>
                <c:pt idx="2">
                  <c:v>80.599999999999994</c:v>
                </c:pt>
                <c:pt idx="3">
                  <c:v>80.099999999999994</c:v>
                </c:pt>
                <c:pt idx="4">
                  <c:v>79.2</c:v>
                </c:pt>
                <c:pt idx="5">
                  <c:v>79.8</c:v>
                </c:pt>
                <c:pt idx="6">
                  <c:v>78.8</c:v>
                </c:pt>
                <c:pt idx="7">
                  <c:v>73.8</c:v>
                </c:pt>
                <c:pt idx="8">
                  <c:v>74</c:v>
                </c:pt>
                <c:pt idx="9">
                  <c:v>76.099999999999994</c:v>
                </c:pt>
                <c:pt idx="10">
                  <c:v>77.900000000000006</c:v>
                </c:pt>
                <c:pt idx="11">
                  <c:v>81.8</c:v>
                </c:pt>
                <c:pt idx="12">
                  <c:v>79.900000000000006</c:v>
                </c:pt>
                <c:pt idx="13">
                  <c:v>77.400000000000006</c:v>
                </c:pt>
                <c:pt idx="14">
                  <c:v>76.3</c:v>
                </c:pt>
                <c:pt idx="15">
                  <c:v>84.5</c:v>
                </c:pt>
                <c:pt idx="16">
                  <c:v>82</c:v>
                </c:pt>
                <c:pt idx="17">
                  <c:v>76.8</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Stratford-on-Avon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19133</c:v>
                </c:pt>
                <c:pt idx="1">
                  <c:v>19734</c:v>
                </c:pt>
                <c:pt idx="2">
                  <c:v>20077</c:v>
                </c:pt>
                <c:pt idx="3">
                  <c:v>20898</c:v>
                </c:pt>
                <c:pt idx="4">
                  <c:v>21674</c:v>
                </c:pt>
                <c:pt idx="5">
                  <c:v>21204</c:v>
                </c:pt>
                <c:pt idx="6">
                  <c:v>21306</c:v>
                </c:pt>
                <c:pt idx="7">
                  <c:v>21598</c:v>
                </c:pt>
                <c:pt idx="8">
                  <c:v>22547</c:v>
                </c:pt>
                <c:pt idx="9">
                  <c:v>23142</c:v>
                </c:pt>
                <c:pt idx="10">
                  <c:v>24184</c:v>
                </c:pt>
                <c:pt idx="11">
                  <c:v>26247</c:v>
                </c:pt>
                <c:pt idx="12">
                  <c:v>27476</c:v>
                </c:pt>
                <c:pt idx="13">
                  <c:v>26882</c:v>
                </c:pt>
                <c:pt idx="14">
                  <c:v>28161</c:v>
                </c:pt>
                <c:pt idx="15">
                  <c:v>27934</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Stratford-on-Avon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18.7</c:v>
                </c:pt>
                <c:pt idx="1">
                  <c:v>20.6</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Stratford-on-Avon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18.600000000000001</c:v>
                </c:pt>
                <c:pt idx="1">
                  <c:v>19</c:v>
                </c:pt>
                <c:pt idx="2">
                  <c:v>17.600000000000001</c:v>
                </c:pt>
                <c:pt idx="3">
                  <c:v>18.2</c:v>
                </c:pt>
                <c:pt idx="4">
                  <c:v>17.3</c:v>
                </c:pt>
                <c:pt idx="5">
                  <c:v>15.1</c:v>
                </c:pt>
                <c:pt idx="6">
                  <c:v>17.399999999999999</c:v>
                </c:pt>
                <c:pt idx="7">
                  <c:v>19.8</c:v>
                </c:pt>
                <c:pt idx="8">
                  <c:v>21.9</c:v>
                </c:pt>
                <c:pt idx="9">
                  <c:v>21.7</c:v>
                </c:pt>
                <c:pt idx="10">
                  <c:v>20.5</c:v>
                </c:pt>
                <c:pt idx="11">
                  <c:v>16.899999999999999</c:v>
                </c:pt>
                <c:pt idx="12">
                  <c:v>18.600000000000001</c:v>
                </c:pt>
                <c:pt idx="13">
                  <c:v>18.899999999999999</c:v>
                </c:pt>
                <c:pt idx="14">
                  <c:v>22.3</c:v>
                </c:pt>
                <c:pt idx="15">
                  <c:v>13.9</c:v>
                </c:pt>
                <c:pt idx="16">
                  <c:v>15.7</c:v>
                </c:pt>
                <c:pt idx="17">
                  <c:v>20.2</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Stratford-on-Avon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6.9000000000000057</c:v>
                </c:pt>
                <c:pt idx="1">
                  <c:v>12</c:v>
                </c:pt>
                <c:pt idx="2">
                  <c:v>22.299999999999997</c:v>
                </c:pt>
                <c:pt idx="3">
                  <c:v>39.499999999999993</c:v>
                </c:pt>
                <c:pt idx="4">
                  <c:v>25.199999999999996</c:v>
                </c:pt>
                <c:pt idx="5">
                  <c:v>25.599999999999994</c:v>
                </c:pt>
                <c:pt idx="6">
                  <c:v>26.5</c:v>
                </c:pt>
                <c:pt idx="7">
                  <c:v>13.5</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Stratford-on-Avon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3.2386140088478879</c:v>
                </c:pt>
                <c:pt idx="1">
                  <c:v>0</c:v>
                </c:pt>
                <c:pt idx="2">
                  <c:v>5.0798986706945017</c:v>
                </c:pt>
                <c:pt idx="3">
                  <c:v>0</c:v>
                </c:pt>
                <c:pt idx="4">
                  <c:v>3.9739516081050876</c:v>
                </c:pt>
                <c:pt idx="5">
                  <c:v>10.908672647803083</c:v>
                </c:pt>
                <c:pt idx="6">
                  <c:v>11.027902590558607</c:v>
                </c:pt>
                <c:pt idx="7">
                  <c:v>6.0236643958408029</c:v>
                </c:pt>
                <c:pt idx="8">
                  <c:v>0</c:v>
                </c:pt>
                <c:pt idx="9">
                  <c:v>0</c:v>
                </c:pt>
                <c:pt idx="10">
                  <c:v>8.0552925582276078</c:v>
                </c:pt>
                <c:pt idx="11">
                  <c:v>0</c:v>
                </c:pt>
                <c:pt idx="12">
                  <c:v>0</c:v>
                </c:pt>
                <c:pt idx="13">
                  <c:v>0</c:v>
                </c:pt>
                <c:pt idx="14">
                  <c:v>8.4818721959500429</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Stratford-on-Avon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56.000000000000007</c:v>
                </c:pt>
                <c:pt idx="1">
                  <c:v>58.5</c:v>
                </c:pt>
                <c:pt idx="2">
                  <c:v>58.8</c:v>
                </c:pt>
                <c:pt idx="3">
                  <c:v>59.8</c:v>
                </c:pt>
                <c:pt idx="4">
                  <c:v>59.5</c:v>
                </c:pt>
                <c:pt idx="5">
                  <c:v>65.099999999999994</c:v>
                </c:pt>
                <c:pt idx="6">
                  <c:v>59.099999999999994</c:v>
                </c:pt>
                <c:pt idx="7">
                  <c:v>52.199999999999996</c:v>
                </c:pt>
                <c:pt idx="8">
                  <c:v>61.5</c:v>
                </c:pt>
                <c:pt idx="9">
                  <c:v>61.4</c:v>
                </c:pt>
                <c:pt idx="10">
                  <c:v>65.099999999999994</c:v>
                </c:pt>
                <c:pt idx="11">
                  <c:v>70.599999999999994</c:v>
                </c:pt>
                <c:pt idx="12">
                  <c:v>66.900000000000006</c:v>
                </c:pt>
                <c:pt idx="13">
                  <c:v>70.100000000000009</c:v>
                </c:pt>
                <c:pt idx="14">
                  <c:v>63.100000000000009</c:v>
                </c:pt>
                <c:pt idx="15">
                  <c:v>58.2</c:v>
                </c:pt>
                <c:pt idx="16">
                  <c:v>61.4</c:v>
                </c:pt>
                <c:pt idx="17">
                  <c:v>67.2</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Stratford-on-Avon follows a similar path to both England and rural, but is constently above both.</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in Stratford-on-Avon increases at a similar rate to both England and rural, but starts at a significantly greater point.</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increasing between 2017 and 2018 for Stratford-on-Avon, it's proportion remained below that seen for England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Stratford-on-Avon's economic inactivity rate has fluctuated between 2004 and 2021 but is on the whole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Stratford-on-Avon hit a peak of nearly 40% in 2017 but has since dropped to 14% in 2021.</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proportion for Straford-on-Avon, where data is available, is below both that of England and 'Rural as a Region'.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Stratford-on-Avon in general has a higher proportion of employed people in skilled employment than seen for 'Rural as a Region' and England.</a:t>
          </a:r>
          <a:endParaRPr lang="en-GB" sz="1100">
            <a:latin typeface="Avenir Next LT Pro" panose="020B0504020202020204" pitchFamily="34" charset="0"/>
          </a:endParaRPr>
        </a:p>
      </xdr:txBody>
    </xdr:sp>
    <xdr:clientData/>
  </xdr:twoCellAnchor>
  <xdr:twoCellAnchor>
    <xdr:from>
      <xdr:col>0</xdr:col>
      <xdr:colOff>601980</xdr:colOff>
      <xdr:row>12</xdr:row>
      <xdr:rowOff>541020</xdr:rowOff>
    </xdr:from>
    <xdr:to>
      <xdr:col>1</xdr:col>
      <xdr:colOff>2583180</xdr:colOff>
      <xdr:row>14</xdr:row>
      <xdr:rowOff>45720</xdr:rowOff>
    </xdr:to>
    <xdr:sp macro="" textlink="">
      <xdr:nvSpPr>
        <xdr:cNvPr id="20" name="TextBox 19">
          <a:extLst>
            <a:ext uri="{FF2B5EF4-FFF2-40B4-BE49-F238E27FC236}">
              <a16:creationId xmlns:a16="http://schemas.microsoft.com/office/drawing/2014/main" id="{C2C6B2AE-4277-4C05-A1E5-775EFF013648}"/>
            </a:ext>
          </a:extLst>
        </xdr:cNvPr>
        <xdr:cNvSpPr txBox="1"/>
      </xdr:nvSpPr>
      <xdr:spPr>
        <a:xfrm>
          <a:off x="601980" y="352806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Stratford-on-Avon between 2004 and 2019 follows and ultimately surpasses that seen for England.</a:t>
          </a:r>
          <a:endParaRPr lang="en-GB" sz="1100">
            <a:latin typeface="Avenir Next LT Pro" panose="020B0504020202020204" pitchFamily="34" charset="0"/>
          </a:endParaRPr>
        </a:p>
      </xdr:txBody>
    </xdr:sp>
    <xdr:clientData/>
  </xdr:twoCellAnchor>
  <xdr:twoCellAnchor>
    <xdr:from>
      <xdr:col>0</xdr:col>
      <xdr:colOff>609600</xdr:colOff>
      <xdr:row>20</xdr:row>
      <xdr:rowOff>617220</xdr:rowOff>
    </xdr:from>
    <xdr:to>
      <xdr:col>1</xdr:col>
      <xdr:colOff>2590800</xdr:colOff>
      <xdr:row>22</xdr:row>
      <xdr:rowOff>144780</xdr:rowOff>
    </xdr:to>
    <xdr:sp macro="" textlink="">
      <xdr:nvSpPr>
        <xdr:cNvPr id="21" name="TextBox 20">
          <a:extLst>
            <a:ext uri="{FF2B5EF4-FFF2-40B4-BE49-F238E27FC236}">
              <a16:creationId xmlns:a16="http://schemas.microsoft.com/office/drawing/2014/main" id="{9548AC8B-29E0-4064-A2CC-04BC5A29FC04}"/>
            </a:ext>
          </a:extLst>
        </xdr:cNvPr>
        <xdr:cNvSpPr txBox="1"/>
      </xdr:nvSpPr>
      <xdr:spPr>
        <a:xfrm>
          <a:off x="609600" y="75438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Stratford-on-Avon has fluctuated a little over the years, but roughly follows the England average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335</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Stratford-on-Avon</v>
      </c>
      <c r="G12" s="88" t="str">
        <f>IFERROR(VLOOKUP(F12,GVA!B244:B552,1,FALSE),VLOOKUP(F12,GVA!B6:C230,2,FALSE))</f>
        <v>Stratford-on-Avon</v>
      </c>
      <c r="H12" s="89" t="str">
        <f>IF(F12=G12,"",G12)</f>
        <v/>
      </c>
      <c r="I12" s="76">
        <f>IFERROR(VLOOKUP($F12,GVA!$B$7:$S$230,GVA!D$3,FALSE),VLOOKUP($F12,GVA!$B$244:$T$554,GVA!E$3,FALSE))</f>
        <v>26.43</v>
      </c>
      <c r="J12" s="77">
        <f>IFERROR(VLOOKUP($F12,GVA!$B$7:$S$230,GVA!E$3,FALSE),VLOOKUP($F12,GVA!$B$244:$T$554,GVA!F$3,FALSE))</f>
        <v>26.09</v>
      </c>
      <c r="K12" s="77">
        <f>IFERROR(VLOOKUP($F12,GVA!$B$7:$S$230,GVA!F$3,FALSE),VLOOKUP($F12,GVA!$B$244:$T$554,GVA!G$3,FALSE))</f>
        <v>27.55</v>
      </c>
      <c r="L12" s="77">
        <f>IFERROR(VLOOKUP($F12,GVA!$B$7:$S$230,GVA!G$3,FALSE),VLOOKUP($F12,GVA!$B$244:$T$554,GVA!H$3,FALSE))</f>
        <v>27.61</v>
      </c>
      <c r="M12" s="77">
        <f>IFERROR(VLOOKUP($F12,GVA!$B$7:$S$230,GVA!H$3,FALSE),VLOOKUP($F12,GVA!$B$244:$T$554,GVA!I$3,FALSE))</f>
        <v>27.76</v>
      </c>
      <c r="N12" s="77">
        <f>IFERROR(VLOOKUP($F12,GVA!$B$7:$S$230,GVA!I$3,FALSE),VLOOKUP($F12,GVA!$B$244:$T$554,GVA!J$3,FALSE))</f>
        <v>28.01</v>
      </c>
      <c r="O12" s="77">
        <f>IFERROR(VLOOKUP($F12,GVA!$B$7:$S$230,GVA!J$3,FALSE),VLOOKUP($F12,GVA!$B$244:$T$554,GVA!K$3,FALSE))</f>
        <v>29.3</v>
      </c>
      <c r="P12" s="77">
        <f>IFERROR(VLOOKUP($F12,GVA!$B$7:$S$230,GVA!K$3,FALSE),VLOOKUP($F12,GVA!$B$244:$T$554,GVA!L$3,FALSE))</f>
        <v>30.9</v>
      </c>
      <c r="Q12" s="77">
        <f>IFERROR(VLOOKUP($F12,GVA!$B$7:$S$230,GVA!L$3,FALSE),VLOOKUP($F12,GVA!$B$244:$T$554,GVA!M$3,FALSE))</f>
        <v>32.479999999999997</v>
      </c>
      <c r="R12" s="77">
        <f>IFERROR(VLOOKUP($F12,GVA!$B$7:$S$230,GVA!M$3,FALSE),VLOOKUP($F12,GVA!$B$244:$T$554,GVA!N$3,FALSE))</f>
        <v>33.19</v>
      </c>
      <c r="S12" s="77">
        <f>IFERROR(VLOOKUP($F12,GVA!$B$7:$S$230,GVA!N$3,FALSE),VLOOKUP($F12,GVA!$B$244:$T$554,GVA!O$3,FALSE))</f>
        <v>33.17</v>
      </c>
      <c r="T12" s="77">
        <f>IFERROR(VLOOKUP($F12,GVA!$B$7:$S$230,GVA!O$3,FALSE),VLOOKUP($F12,GVA!$B$244:$T$554,GVA!P$3,FALSE))</f>
        <v>33.549999999999997</v>
      </c>
      <c r="U12" s="77">
        <f>IFERROR(VLOOKUP($F12,GVA!$B$7:$S$230,GVA!P$3,FALSE),VLOOKUP($F12,GVA!$B$244:$T$554,GVA!Q$3,FALSE))</f>
        <v>35.15</v>
      </c>
      <c r="V12" s="77">
        <f>IFERROR(VLOOKUP($F12,GVA!$B$7:$S$230,GVA!Q$3,FALSE),VLOOKUP($F12,GVA!$B$244:$T$554,GVA!R$3,FALSE))</f>
        <v>37.479999999999997</v>
      </c>
      <c r="W12" s="77">
        <f>IFERROR(VLOOKUP($F12,GVA!$B$7:$S$230,GVA!R$3,FALSE),VLOOKUP($F12,GVA!$B$244:$T$554,GVA!S$3,FALSE))</f>
        <v>39.39</v>
      </c>
      <c r="X12" s="77">
        <f>IFERROR(VLOOKUP($F12,GVA!$B$7:$S$230,GVA!S$3,FALSE),VLOOKUP($F12,GVA!$B$244:$T$554,GVA!T$3,FALSE))</f>
        <v>40.200000000000003</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Stratford-on-Avon to Rural as a Region</v>
      </c>
      <c r="G15" s="102"/>
      <c r="H15" s="103"/>
      <c r="I15" s="74">
        <f>100*((I12-I13)/I13)</f>
        <v>12.276407551444647</v>
      </c>
      <c r="J15" s="74">
        <f t="shared" ref="J15:X15" si="0">100*((J12-J13)/J13)</f>
        <v>11.140637361299872</v>
      </c>
      <c r="K15" s="74">
        <f t="shared" si="0"/>
        <v>13.356159351074867</v>
      </c>
      <c r="L15" s="74">
        <f t="shared" si="0"/>
        <v>11.157761545982602</v>
      </c>
      <c r="M15" s="74">
        <f t="shared" si="0"/>
        <v>9.8768747967939632</v>
      </c>
      <c r="N15" s="74">
        <f t="shared" si="0"/>
        <v>9.960695608283368</v>
      </c>
      <c r="O15" s="74">
        <f t="shared" si="0"/>
        <v>13.609401902722102</v>
      </c>
      <c r="P15" s="74">
        <f t="shared" si="0"/>
        <v>18.053186699231823</v>
      </c>
      <c r="Q15" s="74">
        <f t="shared" si="0"/>
        <v>21.599144270624386</v>
      </c>
      <c r="R15" s="74">
        <f t="shared" si="0"/>
        <v>22.139130206211252</v>
      </c>
      <c r="S15" s="74">
        <f t="shared" si="0"/>
        <v>20.07395053588278</v>
      </c>
      <c r="T15" s="74">
        <f t="shared" si="0"/>
        <v>19.191013516942711</v>
      </c>
      <c r="U15" s="74">
        <f t="shared" si="0"/>
        <v>21.891913091222865</v>
      </c>
      <c r="V15" s="74">
        <f t="shared" si="0"/>
        <v>26.532564355042908</v>
      </c>
      <c r="W15" s="74">
        <f t="shared" si="0"/>
        <v>30.282042296500844</v>
      </c>
      <c r="X15" s="74">
        <f t="shared" si="0"/>
        <v>31.581921124104245</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Stratford-on-Avon</v>
      </c>
      <c r="G20" s="88"/>
      <c r="H20" s="89"/>
      <c r="I20" s="80">
        <f>IF(VLOOKUP($F20,PAY!$A$11:$AE$349,4,FALSE)="-",#N/A,VLOOKUP($F20,PAY!$A$11:$AE$349,4,FALSE))</f>
        <v>494.1</v>
      </c>
      <c r="J20" s="80">
        <f>IF(VLOOKUP($F20,PAY!$A$11:$AE$349,6,FALSE)="-",#N/A,VLOOKUP($F20,PAY!$A$11:$AE$349,6,FALSE))</f>
        <v>495.4</v>
      </c>
      <c r="K20" s="80">
        <f>IF(VLOOKUP($F20,PAY!$A$11:$AE$349,8,FALSE)="-",#N/A,VLOOKUP($F20,PAY!$A$11:$AE$349,8,FALSE))</f>
        <v>497.4</v>
      </c>
      <c r="L20" s="80">
        <f>IF(VLOOKUP($F20,PAY!$A$11:$AE$349,10,FALSE)="-",#N/A,VLOOKUP($F20,PAY!$A$11:$AE$349,10,FALSE))</f>
        <v>485.7</v>
      </c>
      <c r="M20" s="80">
        <f>IF(VLOOKUP($F20,PAY!$A$11:$AE$349,12,FALSE)="-",#N/A,VLOOKUP($F20,PAY!$A$11:$AE$349,12,FALSE))</f>
        <v>520</v>
      </c>
      <c r="N20" s="80">
        <f>IF(VLOOKUP($F20,PAY!$A$11:$AE$349,14,FALSE)="-",#N/A,VLOOKUP($F20,PAY!$A$11:$AE$349,14,FALSE))</f>
        <v>536.6</v>
      </c>
      <c r="O20" s="80">
        <f>IF(VLOOKUP($F20,PAY!$A$11:$AE$349,16,FALSE)="-",#N/A,VLOOKUP($F20,PAY!$A$11:$AE$349,16,FALSE))</f>
        <v>546.9</v>
      </c>
      <c r="P20" s="80">
        <f>IF(VLOOKUP($F20,PAY!$A$11:$AE$349,18,FALSE)="-",#N/A,VLOOKUP($F20,PAY!$A$11:$AE$349,18,FALSE))</f>
        <v>510.2</v>
      </c>
      <c r="Q20" s="80">
        <f>IF(VLOOKUP($F20,PAY!$A$11:$AE$349,20,FALSE)="-",#N/A,VLOOKUP($F20,PAY!$A$11:$AE$349,20,FALSE))</f>
        <v>566.4</v>
      </c>
      <c r="R20" s="80">
        <f>IF(VLOOKUP($F20,PAY!$A$11:$AE$349,22,FALSE)="-",#N/A,VLOOKUP($F20,PAY!$A$11:$AE$349,22,FALSE))</f>
        <v>573.4</v>
      </c>
      <c r="S20" s="80">
        <f>IF(VLOOKUP($F20,PAY!$A$11:$AE$349,24,FALSE)="-",#N/A,VLOOKUP($F20,PAY!$A$11:$AE$349,24,FALSE))</f>
        <v>598.6</v>
      </c>
      <c r="T20" s="80">
        <f>IF(VLOOKUP($F20,PAY!$A$11:$AE$349,26,FALSE)="-",#N/A,VLOOKUP($F20,PAY!$A$11:$AE$349,26,FALSE))</f>
        <v>545.70000000000005</v>
      </c>
      <c r="U20" s="80">
        <f>IF(VLOOKUP($F20,PAY!$A$11:$AE$349,28,FALSE)="-",#N/A,VLOOKUP($F20,PAY!$A$11:$AE$349,28,FALSE))</f>
        <v>580</v>
      </c>
      <c r="V20" s="80">
        <f>IF(VLOOKUP($F20,PAY!$A$11:$AE$349,30,FALSE)="-",#N/A,VLOOKUP($F20,PAY!$A$11:$AE$349,30,FALSE))</f>
        <v>650.20000000000005</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Stratford-on-Avon to Rural as a Region</v>
      </c>
      <c r="G23" s="102"/>
      <c r="H23" s="103"/>
      <c r="I23" s="74">
        <f>100*((I20-I21)/I21)</f>
        <v>14.112856073717206</v>
      </c>
      <c r="J23" s="74">
        <f t="shared" ref="J23:V23" si="2">100*((J20-J21)/J21)</f>
        <v>13.383303770670016</v>
      </c>
      <c r="K23" s="74">
        <f t="shared" si="2"/>
        <v>10.998872910010729</v>
      </c>
      <c r="L23" s="74">
        <f t="shared" si="2"/>
        <v>7.7768976675205783</v>
      </c>
      <c r="M23" s="74">
        <f t="shared" si="2"/>
        <v>14.224701230668261</v>
      </c>
      <c r="N23" s="74">
        <f t="shared" si="2"/>
        <v>15.853251928090828</v>
      </c>
      <c r="O23" s="74">
        <f t="shared" si="2"/>
        <v>16.163351562373965</v>
      </c>
      <c r="P23" s="74">
        <f t="shared" si="2"/>
        <v>7.4509009381273108</v>
      </c>
      <c r="Q23" s="74">
        <f t="shared" si="2"/>
        <v>15.714097302497326</v>
      </c>
      <c r="R23" s="74">
        <f t="shared" si="2"/>
        <v>13.756984467799279</v>
      </c>
      <c r="S23" s="74">
        <f t="shared" si="2"/>
        <v>16.36279155771653</v>
      </c>
      <c r="T23" s="74">
        <f t="shared" si="2"/>
        <v>2.2486822646088691</v>
      </c>
      <c r="U23" s="74">
        <f t="shared" si="2"/>
        <v>9.2179594800009497</v>
      </c>
      <c r="V23" s="74">
        <f t="shared" si="2"/>
        <v>15.231748485579613</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Stratford-on-Avon</v>
      </c>
      <c r="G28" s="88"/>
      <c r="H28" s="89"/>
      <c r="I28" s="76">
        <f>VLOOKUP($F28,EMPLOYMENT!$A$6:$BW$345,6,FALSE)</f>
        <v>79.400000000000006</v>
      </c>
      <c r="J28" s="77">
        <f>VLOOKUP($F28,EMPLOYMENT!$A$6:$BW$345,10,FALSE)</f>
        <v>79</v>
      </c>
      <c r="K28" s="77">
        <f>VLOOKUP($F28,EMPLOYMENT!$A$6:$BW$345,14,FALSE)</f>
        <v>80.599999999999994</v>
      </c>
      <c r="L28" s="77">
        <f>VLOOKUP($F28,EMPLOYMENT!$A$6:$BW$345,18,FALSE)</f>
        <v>80.099999999999994</v>
      </c>
      <c r="M28" s="77">
        <f>VLOOKUP($F28,EMPLOYMENT!$A$6:$BW$345,22,FALSE)</f>
        <v>79.2</v>
      </c>
      <c r="N28" s="77">
        <f>VLOOKUP($F28,EMPLOYMENT!$A$6:$BW$345,26,FALSE)</f>
        <v>79.8</v>
      </c>
      <c r="O28" s="77">
        <f>VLOOKUP($F28,EMPLOYMENT!$A$6:$BW$345,30,FALSE)</f>
        <v>78.8</v>
      </c>
      <c r="P28" s="77">
        <f>VLOOKUP($F28,EMPLOYMENT!$A$6:$BW$345,34,FALSE)</f>
        <v>73.8</v>
      </c>
      <c r="Q28" s="77">
        <f>VLOOKUP($F28,EMPLOYMENT!$A$6:$BW$345,38,FALSE)</f>
        <v>74</v>
      </c>
      <c r="R28" s="77">
        <f>VLOOKUP($F28,EMPLOYMENT!$A$6:$BW$345,42,FALSE)</f>
        <v>76.099999999999994</v>
      </c>
      <c r="S28" s="77">
        <f>VLOOKUP($F28,EMPLOYMENT!$A$6:$BW$345,46,FALSE)</f>
        <v>77.900000000000006</v>
      </c>
      <c r="T28" s="77">
        <f>VLOOKUP($F28,EMPLOYMENT!$A$6:$BW$345,50,FALSE)</f>
        <v>81.8</v>
      </c>
      <c r="U28" s="77">
        <f>VLOOKUP($F28,EMPLOYMENT!$A$6:$BW$345,54,FALSE)</f>
        <v>79.900000000000006</v>
      </c>
      <c r="V28" s="77">
        <f>VLOOKUP($F28,EMPLOYMENT!$A$6:$BW$345,58,FALSE)</f>
        <v>77.400000000000006</v>
      </c>
      <c r="W28" s="77">
        <f>VLOOKUP($F28,EMPLOYMENT!$A$6:$BW$345,62,FALSE)</f>
        <v>76.3</v>
      </c>
      <c r="X28" s="77">
        <f>VLOOKUP($F28,EMPLOYMENT!$A$6:$BW$345,66,FALSE)</f>
        <v>84.5</v>
      </c>
      <c r="Y28" s="77">
        <f>VLOOKUP($F28,EMPLOYMENT!$A$6:$BW$345,70,FALSE)</f>
        <v>82</v>
      </c>
      <c r="Z28" s="77">
        <f>VLOOKUP($F28,EMPLOYMENT!$A$6:$BW$345,74,FALSE)</f>
        <v>76.8</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Stratford-on-Avon to Rural as a Region</v>
      </c>
      <c r="G31" s="102"/>
      <c r="H31" s="103"/>
      <c r="I31" s="74">
        <f>(I28-I29)</f>
        <v>3.2886580805982675</v>
      </c>
      <c r="J31" s="74">
        <f t="shared" ref="J31:Z31" si="4">(J28-J29)</f>
        <v>2.6870245333170431</v>
      </c>
      <c r="K31" s="74">
        <f t="shared" si="4"/>
        <v>4.7268111005132312</v>
      </c>
      <c r="L31" s="74">
        <f t="shared" si="4"/>
        <v>4.4595316973721566</v>
      </c>
      <c r="M31" s="74">
        <f t="shared" si="4"/>
        <v>3.4644756266682606</v>
      </c>
      <c r="N31" s="74">
        <f t="shared" si="4"/>
        <v>5.2904601571268159</v>
      </c>
      <c r="O31" s="74">
        <f t="shared" si="4"/>
        <v>5.2528668610301281</v>
      </c>
      <c r="P31" s="74">
        <f t="shared" si="4"/>
        <v>6.5704596722383712E-2</v>
      </c>
      <c r="Q31" s="74">
        <f t="shared" si="4"/>
        <v>-3.3157475462573416E-2</v>
      </c>
      <c r="R31" s="74">
        <f t="shared" si="4"/>
        <v>1.3555250700997874</v>
      </c>
      <c r="S31" s="74">
        <f t="shared" si="4"/>
        <v>1.7911396599243972</v>
      </c>
      <c r="T31" s="74">
        <f t="shared" si="4"/>
        <v>4.6094680243909778</v>
      </c>
      <c r="U31" s="74">
        <f t="shared" si="4"/>
        <v>2.9283675182919637</v>
      </c>
      <c r="V31" s="74">
        <f t="shared" si="4"/>
        <v>-0.63278688524589199</v>
      </c>
      <c r="W31" s="74">
        <f t="shared" si="4"/>
        <v>-1.7481568934141478</v>
      </c>
      <c r="X31" s="74">
        <f t="shared" si="4"/>
        <v>5.9087006210432946</v>
      </c>
      <c r="Y31" s="74">
        <f t="shared" si="4"/>
        <v>4.9856537038707955</v>
      </c>
      <c r="Z31" s="74">
        <f t="shared" si="4"/>
        <v>0.64424192212095477</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Stratford-on-Avon</v>
      </c>
      <c r="G36" s="88" t="str">
        <f>IFERROR(VLOOKUP(F36,GDHI!B338:C574,2,FALSE),VLOOKUP(F36,GDHI!C3:C336,1,FALSE))</f>
        <v>Stratford-on-Avon</v>
      </c>
      <c r="H36" s="89" t="str">
        <f>IF(F36=G36,"",G36)</f>
        <v/>
      </c>
      <c r="I36" s="83">
        <f>IFERROR(VLOOKUP($F36,GDHI!$B$338:$U$574,GDHI!G$578,FALSE),VLOOKUP($F36,GDHI!$C$3:$U$336,GDHI!F$578,FALSE))</f>
        <v>19133</v>
      </c>
      <c r="J36" s="84">
        <f>IFERROR(VLOOKUP($F36,GDHI!$B$338:$U$574,GDHI!H$578,FALSE),VLOOKUP($F36,GDHI!$C$3:$U$336,GDHI!G$578,FALSE))</f>
        <v>19734</v>
      </c>
      <c r="K36" s="84">
        <f>IFERROR(VLOOKUP($F36,GDHI!$B$338:$U$574,GDHI!I$578,FALSE),VLOOKUP($F36,GDHI!$C$3:$U$336,GDHI!H$578,FALSE))</f>
        <v>20077</v>
      </c>
      <c r="L36" s="84">
        <f>IFERROR(VLOOKUP($F36,GDHI!$B$338:$U$574,GDHI!J$578,FALSE),VLOOKUP($F36,GDHI!$C$3:$U$336,GDHI!I$578,FALSE))</f>
        <v>20898</v>
      </c>
      <c r="M36" s="84">
        <f>IFERROR(VLOOKUP($F36,GDHI!$B$338:$U$574,GDHI!K$578,FALSE),VLOOKUP($F36,GDHI!$C$3:$U$336,GDHI!J$578,FALSE))</f>
        <v>21674</v>
      </c>
      <c r="N36" s="84">
        <f>IFERROR(VLOOKUP($F36,GDHI!$B$338:$U$574,GDHI!L$578,FALSE),VLOOKUP($F36,GDHI!$C$3:$U$336,GDHI!K$578,FALSE))</f>
        <v>21204</v>
      </c>
      <c r="O36" s="84">
        <f>IFERROR(VLOOKUP($F36,GDHI!$B$338:$U$574,GDHI!M$578,FALSE),VLOOKUP($F36,GDHI!$C$3:$U$336,GDHI!L$578,FALSE))</f>
        <v>21306</v>
      </c>
      <c r="P36" s="84">
        <f>IFERROR(VLOOKUP($F36,GDHI!$B$338:$U$574,GDHI!N$578,FALSE),VLOOKUP($F36,GDHI!$C$3:$U$336,GDHI!M$578,FALSE))</f>
        <v>21598</v>
      </c>
      <c r="Q36" s="84">
        <f>IFERROR(VLOOKUP($F36,GDHI!$B$338:$U$574,GDHI!O$578,FALSE),VLOOKUP($F36,GDHI!$C$3:$U$336,GDHI!N$578,FALSE))</f>
        <v>22547</v>
      </c>
      <c r="R36" s="84">
        <f>IFERROR(VLOOKUP($F36,GDHI!$B$338:$U$574,GDHI!P$578,FALSE),VLOOKUP($F36,GDHI!$C$3:$U$336,GDHI!O$578,FALSE))</f>
        <v>23142</v>
      </c>
      <c r="S36" s="84">
        <f>IFERROR(VLOOKUP($F36,GDHI!$B$338:$U$574,GDHI!Q$578,FALSE),VLOOKUP($F36,GDHI!$C$3:$U$336,GDHI!P$578,FALSE))</f>
        <v>24184</v>
      </c>
      <c r="T36" s="84">
        <f>IFERROR(VLOOKUP($F36,GDHI!$B$338:$U$574,GDHI!R$578,FALSE),VLOOKUP($F36,GDHI!$C$3:$U$336,GDHI!Q$578,FALSE))</f>
        <v>26247</v>
      </c>
      <c r="U36" s="84">
        <f>IFERROR(VLOOKUP($F36,GDHI!$B$338:$U$574,GDHI!S$578,FALSE),VLOOKUP($F36,GDHI!$C$3:$U$336,GDHI!R$578,FALSE))</f>
        <v>27476</v>
      </c>
      <c r="V36" s="84">
        <f>IFERROR(VLOOKUP($F36,GDHI!$B$338:$U$574,GDHI!T$578,FALSE),VLOOKUP($F36,GDHI!$C$3:$U$336,GDHI!S$578,FALSE))</f>
        <v>26882</v>
      </c>
      <c r="W36" s="84">
        <f>IFERROR(VLOOKUP($F36,GDHI!$B$338:$U$574,GDHI!U$578,FALSE),VLOOKUP($F36,GDHI!$C$3:$U$336,GDHI!T$578,FALSE))</f>
        <v>28161</v>
      </c>
      <c r="X36" s="84">
        <f>IFERROR(VLOOKUP($F36,GDHI!$B$338:$U$574,GDHI!V$578,FALSE),VLOOKUP($F36,GDHI!$C$3:$U$336,GDHI!U$578,FALSE))</f>
        <v>27934</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Stratford-on-Avon to Rural as a Region</v>
      </c>
      <c r="G39" s="102"/>
      <c r="H39" s="103"/>
      <c r="I39" s="74">
        <f>100*((I36-I37)/I37)</f>
        <v>30.072402189061492</v>
      </c>
      <c r="J39" s="74">
        <f t="shared" ref="J39:X39" si="6">100*((J36-J37)/J37)</f>
        <v>28.631988831991773</v>
      </c>
      <c r="K39" s="74">
        <f t="shared" si="6"/>
        <v>26.078716776151278</v>
      </c>
      <c r="L39" s="74">
        <f t="shared" si="6"/>
        <v>26.133358050824619</v>
      </c>
      <c r="M39" s="74">
        <f t="shared" si="6"/>
        <v>27.020636660403845</v>
      </c>
      <c r="N39" s="74">
        <f t="shared" si="6"/>
        <v>22.616678312411143</v>
      </c>
      <c r="O39" s="74">
        <f t="shared" si="6"/>
        <v>21.693519598276961</v>
      </c>
      <c r="P39" s="74">
        <f t="shared" si="6"/>
        <v>21.336754048277029</v>
      </c>
      <c r="Q39" s="74">
        <f t="shared" si="6"/>
        <v>22.762504423849517</v>
      </c>
      <c r="R39" s="74">
        <f t="shared" si="6"/>
        <v>22.613505267719216</v>
      </c>
      <c r="S39" s="74">
        <f t="shared" si="6"/>
        <v>24.685272579632439</v>
      </c>
      <c r="T39" s="74">
        <f t="shared" si="6"/>
        <v>28.294759040140782</v>
      </c>
      <c r="U39" s="74">
        <f t="shared" si="6"/>
        <v>33.217584843104611</v>
      </c>
      <c r="V39" s="74">
        <f t="shared" si="6"/>
        <v>28.220244040517834</v>
      </c>
      <c r="W39" s="74">
        <f t="shared" si="6"/>
        <v>28.931203596410992</v>
      </c>
      <c r="X39" s="74">
        <f t="shared" si="6"/>
        <v>25.460748736413059</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Stratford-on-Avon</v>
      </c>
      <c r="G44" s="88"/>
      <c r="H44" s="89"/>
      <c r="I44" s="76">
        <f>VLOOKUP($F44,'LOW PAID'!$A$9:$N$444,6,FALSE)</f>
        <v>18.7</v>
      </c>
      <c r="J44" s="77">
        <f>VLOOKUP($F44,'LOW PAID'!$P$9:$W$444,6,FALSE)</f>
        <v>20.6</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Stratford-on-Avon to Rural as a Region</v>
      </c>
      <c r="G47" s="102"/>
      <c r="H47" s="103"/>
      <c r="I47" s="74">
        <f>(I44-I45)</f>
        <v>-6.4938746782131176</v>
      </c>
      <c r="J47" s="74">
        <f>(J44-J45)</f>
        <v>-5.0861165090300524</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Stratford-on-Avon</v>
      </c>
      <c r="G52" s="88"/>
      <c r="H52" s="89"/>
      <c r="I52" s="76">
        <f>VLOOKUP($F52,INACTIVITY!$A$6:$BW$345,6,FALSE)</f>
        <v>18.600000000000001</v>
      </c>
      <c r="J52" s="77">
        <f>VLOOKUP($F52,INACTIVITY!$A$6:$BW$345,10,FALSE)</f>
        <v>19</v>
      </c>
      <c r="K52" s="77">
        <f>VLOOKUP($F52,INACTIVITY!$A$6:$BW$345,14,FALSE)</f>
        <v>17.600000000000001</v>
      </c>
      <c r="L52" s="77">
        <f>VLOOKUP($F52,INACTIVITY!$A$6:$BW$345,18,FALSE)</f>
        <v>18.2</v>
      </c>
      <c r="M52" s="77">
        <f>VLOOKUP($F52,INACTIVITY!$A$6:$BW$345,22,FALSE)</f>
        <v>17.3</v>
      </c>
      <c r="N52" s="77">
        <f>VLOOKUP($F52,INACTIVITY!$A$6:$BW$345,26,FALSE)</f>
        <v>15.1</v>
      </c>
      <c r="O52" s="77">
        <f>VLOOKUP($F52,INACTIVITY!$A$6:$BW$345,30,FALSE)</f>
        <v>17.399999999999999</v>
      </c>
      <c r="P52" s="77">
        <f>VLOOKUP($F52,INACTIVITY!$A$6:$BW$345,34,FALSE)</f>
        <v>19.8</v>
      </c>
      <c r="Q52" s="77">
        <f>VLOOKUP($F52,INACTIVITY!$A$6:$BW$345,38,FALSE)</f>
        <v>21.9</v>
      </c>
      <c r="R52" s="77">
        <f>VLOOKUP($F52,INACTIVITY!$A$6:$BW$345,42,FALSE)</f>
        <v>21.7</v>
      </c>
      <c r="S52" s="77">
        <f>VLOOKUP($F52,INACTIVITY!$A$6:$BW$345,46,FALSE)</f>
        <v>20.5</v>
      </c>
      <c r="T52" s="77">
        <f>VLOOKUP($F52,INACTIVITY!$A$6:$BW$345,50,FALSE)</f>
        <v>16.899999999999999</v>
      </c>
      <c r="U52" s="77">
        <f>VLOOKUP($F52,INACTIVITY!$A$6:$BW$345,54,FALSE)</f>
        <v>18.600000000000001</v>
      </c>
      <c r="V52" s="77">
        <f>VLOOKUP($F52,INACTIVITY!$A$6:$BW$345,58,FALSE)</f>
        <v>18.899999999999999</v>
      </c>
      <c r="W52" s="77">
        <f>VLOOKUP($F52,INACTIVITY!$A$6:$BW$345,62,FALSE)</f>
        <v>22.3</v>
      </c>
      <c r="X52" s="77">
        <f>VLOOKUP($F52,INACTIVITY!$A$6:$BW$345,66,FALSE)</f>
        <v>13.9</v>
      </c>
      <c r="Y52" s="77">
        <f>VLOOKUP($F52,INACTIVITY!$A$6:$BW$345,70,FALSE)</f>
        <v>15.7</v>
      </c>
      <c r="Z52" s="77">
        <f>VLOOKUP($F52,INACTIVITY!$A$6:$BW$345,74,FALSE)</f>
        <v>20.2</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Stratford-on-Avon to Rural as a Region</v>
      </c>
      <c r="G55" s="102"/>
      <c r="H55" s="103"/>
      <c r="I55" s="74">
        <f>(I52-I53)</f>
        <v>-2.7956445716102358</v>
      </c>
      <c r="J55" s="74">
        <f t="shared" ref="J55:Z55" si="10">(J52-J53)</f>
        <v>-2.0085227272727266</v>
      </c>
      <c r="K55" s="74">
        <f t="shared" si="10"/>
        <v>-3.2624653934587755</v>
      </c>
      <c r="L55" s="74">
        <f t="shared" si="10"/>
        <v>-3.11406533153664</v>
      </c>
      <c r="M55" s="74">
        <f t="shared" si="10"/>
        <v>-3.5350023108920041</v>
      </c>
      <c r="N55" s="74">
        <f t="shared" si="10"/>
        <v>-5.8331437579204408</v>
      </c>
      <c r="O55" s="74">
        <f t="shared" si="10"/>
        <v>-4.2919371275051752</v>
      </c>
      <c r="P55" s="74">
        <f t="shared" si="10"/>
        <v>-1.6942457807534481</v>
      </c>
      <c r="Q55" s="74">
        <f t="shared" si="10"/>
        <v>0.7174512055109048</v>
      </c>
      <c r="R55" s="74">
        <f t="shared" si="10"/>
        <v>0.92540690256122815</v>
      </c>
      <c r="S55" s="74">
        <f t="shared" si="10"/>
        <v>0.22678954402759999</v>
      </c>
      <c r="T55" s="74">
        <f t="shared" si="10"/>
        <v>-2.7961946834069593</v>
      </c>
      <c r="U55" s="74">
        <f t="shared" si="10"/>
        <v>-1.2524293470694694</v>
      </c>
      <c r="V55" s="74">
        <f t="shared" si="10"/>
        <v>-0.35327733428037789</v>
      </c>
      <c r="W55" s="74">
        <f t="shared" si="10"/>
        <v>3.1230439908171519</v>
      </c>
      <c r="X55" s="74">
        <f t="shared" si="10"/>
        <v>-4.9520649493649298</v>
      </c>
      <c r="Y55" s="74">
        <f t="shared" si="10"/>
        <v>-4.0725827218714628</v>
      </c>
      <c r="Z55" s="74">
        <f t="shared" si="10"/>
        <v>-0.88517977563007122</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Stratford-on-Avon</v>
      </c>
      <c r="G60" s="88"/>
      <c r="H60" s="89"/>
      <c r="I60" s="76">
        <f>VLOOKUP($F60,DISABILITY!$A$718:$I$1052,DISABILITY!B$1053,FALSE)</f>
        <v>6.9000000000000057</v>
      </c>
      <c r="J60" s="77">
        <f>VLOOKUP($F60,DISABILITY!$A$718:$I$1052,DISABILITY!C$1053,FALSE)</f>
        <v>12</v>
      </c>
      <c r="K60" s="77">
        <f>VLOOKUP($F60,DISABILITY!$A$718:$I$1052,DISABILITY!D$1053,FALSE)</f>
        <v>22.299999999999997</v>
      </c>
      <c r="L60" s="77">
        <f>VLOOKUP($F60,DISABILITY!$A$718:$I$1052,DISABILITY!E$1053,FALSE)</f>
        <v>39.499999999999993</v>
      </c>
      <c r="M60" s="77">
        <f>VLOOKUP($F60,DISABILITY!$A$718:$I$1052,DISABILITY!F$1053,FALSE)</f>
        <v>25.199999999999996</v>
      </c>
      <c r="N60" s="77">
        <f>VLOOKUP($F60,DISABILITY!$A$718:$I$1052,DISABILITY!G$1053,FALSE)</f>
        <v>25.599999999999994</v>
      </c>
      <c r="O60" s="77">
        <f>VLOOKUP($F60,DISABILITY!$A$718:$I$1052,DISABILITY!H$1053,FALSE)</f>
        <v>26.5</v>
      </c>
      <c r="P60" s="77">
        <f>VLOOKUP($F60,DISABILITY!$A$718:$I$1052,DISABILITY!I$1053,FALSE)</f>
        <v>13.5</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Stratford-on-Avon to Rural as a Region</v>
      </c>
      <c r="G63" s="102"/>
      <c r="H63" s="103"/>
      <c r="I63" s="74">
        <f>(I60-I61)</f>
        <v>-20.520156540647243</v>
      </c>
      <c r="J63" s="74">
        <f t="shared" ref="J63:P63" si="12">(J60-J61)</f>
        <v>-15.319044407051187</v>
      </c>
      <c r="K63" s="74">
        <f t="shared" si="12"/>
        <v>-5.8191283614982083</v>
      </c>
      <c r="L63" s="74">
        <f t="shared" si="12"/>
        <v>13.509065461003317</v>
      </c>
      <c r="M63" s="74">
        <f t="shared" si="12"/>
        <v>-0.27522581866612228</v>
      </c>
      <c r="N63" s="74">
        <f t="shared" si="12"/>
        <v>6.8752314558011562E-2</v>
      </c>
      <c r="O63" s="74">
        <f t="shared" si="12"/>
        <v>2.7027777120030549</v>
      </c>
      <c r="P63" s="74">
        <f t="shared" si="12"/>
        <v>-11.854177930342175</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Stratford-on-Avon</v>
      </c>
      <c r="G68" s="88"/>
      <c r="H68" s="89"/>
      <c r="I68" s="76">
        <f>VLOOKUP($F68,'WORKLESS HOUSEHOLDS'!$DW$4:$EC$397,7,FALSE)</f>
        <v>3.2386140088478879</v>
      </c>
      <c r="J68" s="77" t="str">
        <f>VLOOKUP($F68,'WORKLESS HOUSEHOLDS'!$DN$4:$DT$397,7,FALSE)</f>
        <v>*</v>
      </c>
      <c r="K68" s="77">
        <f>VLOOKUP($F68,'WORKLESS HOUSEHOLDS'!$DE$4:$DK$397,7,FALSE)</f>
        <v>5.0798986706945017</v>
      </c>
      <c r="L68" s="77" t="str">
        <f>VLOOKUP($F68,'WORKLESS HOUSEHOLDS'!$CV$4:$DB$397,7,FALSE)</f>
        <v>*</v>
      </c>
      <c r="M68" s="77">
        <f>VLOOKUP($F68,'WORKLESS HOUSEHOLDS'!$CM$4:$CS$397,7,FALSE)</f>
        <v>3.9739516081050876</v>
      </c>
      <c r="N68" s="77">
        <f>VLOOKUP($F68,'WORKLESS HOUSEHOLDS'!$CD$4:$CJ$397,7,FALSE)</f>
        <v>10.908672647803083</v>
      </c>
      <c r="O68" s="77">
        <f>VLOOKUP($F68,'WORKLESS HOUSEHOLDS'!$BU$4:$CA$397,7,FALSE)</f>
        <v>11.027902590558607</v>
      </c>
      <c r="P68" s="77">
        <f>VLOOKUP($F68,'WORKLESS HOUSEHOLDS'!$BL$4:$BR$397,7,FALSE)</f>
        <v>6.0236643958408029</v>
      </c>
      <c r="Q68" s="77" t="str">
        <f>VLOOKUP($F68,'WORKLESS HOUSEHOLDS'!$BC$4:$BI$397,7,FALSE)</f>
        <v>#</v>
      </c>
      <c r="R68" s="77" t="str">
        <f>VLOOKUP($F68,'WORKLESS HOUSEHOLDS'!$AT$4:$AZ$397,7,FALSE)</f>
        <v>#</v>
      </c>
      <c r="S68" s="77">
        <f>VLOOKUP($F68,'WORKLESS HOUSEHOLDS'!$AK$4:$AQ$397,7,FALSE)</f>
        <v>8.0552925582276078</v>
      </c>
      <c r="T68" s="77" t="str">
        <f>VLOOKUP($F68,'WORKLESS HOUSEHOLDS'!$AB$4:$AH$397,7,FALSE)</f>
        <v>#</v>
      </c>
      <c r="U68" s="77" t="str">
        <f>VLOOKUP($F68,'WORKLESS HOUSEHOLDS'!$S$4:$Y$397,7,FALSE)</f>
        <v>#</v>
      </c>
      <c r="V68" s="77" t="str">
        <f>VLOOKUP($F68,'WORKLESS HOUSEHOLDS'!$J$4:$P$397,7,FALSE)</f>
        <v>#</v>
      </c>
      <c r="W68" s="77">
        <f>VLOOKUP($F68,'WORKLESS HOUSEHOLDS'!$B$4:$H$397,7,FALSE)</f>
        <v>8.4818721959500429</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Stratford-on-Avon to Rural as a Region</v>
      </c>
      <c r="G71" s="102"/>
      <c r="H71" s="103"/>
      <c r="I71" s="74">
        <f>(I68-I69)</f>
        <v>-6.773331853738803</v>
      </c>
      <c r="J71" s="74" t="e">
        <f t="shared" ref="J71:W71" si="14">(J68-J69)</f>
        <v>#VALUE!</v>
      </c>
      <c r="K71" s="74">
        <f t="shared" si="14"/>
        <v>-5.2133470584613422</v>
      </c>
      <c r="L71" s="74" t="e">
        <f t="shared" si="14"/>
        <v>#VALUE!</v>
      </c>
      <c r="M71" s="74">
        <f t="shared" si="14"/>
        <v>-7.7198275730833856</v>
      </c>
      <c r="N71" s="74">
        <f t="shared" si="14"/>
        <v>-0.99242703145229783</v>
      </c>
      <c r="O71" s="74">
        <f t="shared" si="14"/>
        <v>-7.3506571839043744E-3</v>
      </c>
      <c r="P71" s="74">
        <f t="shared" si="14"/>
        <v>-3.6678334899270348</v>
      </c>
      <c r="Q71" s="74" t="e">
        <f t="shared" si="14"/>
        <v>#VALUE!</v>
      </c>
      <c r="R71" s="74" t="e">
        <f t="shared" si="14"/>
        <v>#VALUE!</v>
      </c>
      <c r="S71" s="74">
        <f t="shared" si="14"/>
        <v>-2.0974522699212734</v>
      </c>
      <c r="T71" s="74" t="e">
        <f t="shared" si="14"/>
        <v>#VALUE!</v>
      </c>
      <c r="U71" s="74" t="e">
        <f t="shared" si="14"/>
        <v>#VALUE!</v>
      </c>
      <c r="V71" s="74" t="e">
        <f t="shared" si="14"/>
        <v>#VALUE!</v>
      </c>
      <c r="W71" s="74">
        <f t="shared" si="14"/>
        <v>-1.8708292272341502</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Stratford-on-Avon</v>
      </c>
      <c r="G76" s="88"/>
      <c r="H76" s="89"/>
      <c r="I76" s="76">
        <f>VLOOKUP($F76,'SKILLED EMPLOYMENT'!$A$1506:$BW$1841,6,FALSE)</f>
        <v>56.000000000000007</v>
      </c>
      <c r="J76" s="77">
        <f>VLOOKUP($F76,'SKILLED EMPLOYMENT'!$A$1506:$BW$1841,10,FALSE)</f>
        <v>58.5</v>
      </c>
      <c r="K76" s="77">
        <f>VLOOKUP($F76,'SKILLED EMPLOYMENT'!$A$1506:$BW$1841,14,FALSE)</f>
        <v>58.8</v>
      </c>
      <c r="L76" s="77">
        <f>VLOOKUP($F76,'SKILLED EMPLOYMENT'!$A$1506:$BW$1841,18,FALSE)</f>
        <v>59.8</v>
      </c>
      <c r="M76" s="77">
        <f>VLOOKUP($F76,'SKILLED EMPLOYMENT'!$A$1506:$BW$1841,22,FALSE)</f>
        <v>59.5</v>
      </c>
      <c r="N76" s="77">
        <f>VLOOKUP($F76,'SKILLED EMPLOYMENT'!$A$1506:$BW$1841,26,FALSE)</f>
        <v>65.099999999999994</v>
      </c>
      <c r="O76" s="77">
        <f>VLOOKUP($F76,'SKILLED EMPLOYMENT'!$A$1506:$BW$1841,30,FALSE)</f>
        <v>59.099999999999994</v>
      </c>
      <c r="P76" s="77">
        <f>VLOOKUP($F76,'SKILLED EMPLOYMENT'!$A$1506:$BW$1841,34,FALSE)</f>
        <v>52.199999999999996</v>
      </c>
      <c r="Q76" s="77">
        <f>VLOOKUP($F76,'SKILLED EMPLOYMENT'!$A$1506:$BW$1841,38,FALSE)</f>
        <v>61.5</v>
      </c>
      <c r="R76" s="77">
        <f>VLOOKUP($F76,'SKILLED EMPLOYMENT'!$A$1506:$BW$1841,42,FALSE)</f>
        <v>61.4</v>
      </c>
      <c r="S76" s="77">
        <f>VLOOKUP($F76,'SKILLED EMPLOYMENT'!$A$1506:$BW$1841,46,FALSE)</f>
        <v>65.099999999999994</v>
      </c>
      <c r="T76" s="77">
        <f>VLOOKUP($F76,'SKILLED EMPLOYMENT'!$A$1506:$BW$1841,50,FALSE)</f>
        <v>70.599999999999994</v>
      </c>
      <c r="U76" s="77">
        <f>VLOOKUP($F76,'SKILLED EMPLOYMENT'!$A$1506:$BW$1841,54,FALSE)</f>
        <v>66.900000000000006</v>
      </c>
      <c r="V76" s="77">
        <f>VLOOKUP($F76,'SKILLED EMPLOYMENT'!$A$1506:$BW$1841,58,FALSE)</f>
        <v>70.100000000000009</v>
      </c>
      <c r="W76" s="77">
        <f>VLOOKUP($F76,'SKILLED EMPLOYMENT'!$A$1506:$BW$1841,62,FALSE)</f>
        <v>63.100000000000009</v>
      </c>
      <c r="X76" s="77">
        <f>VLOOKUP($F76,'SKILLED EMPLOYMENT'!$A$1506:$BW$1841,66,FALSE)</f>
        <v>58.2</v>
      </c>
      <c r="Y76" s="77">
        <f>VLOOKUP($F76,'SKILLED EMPLOYMENT'!$A$1506:$BW$1841,70,FALSE)</f>
        <v>61.4</v>
      </c>
      <c r="Z76" s="77">
        <f>VLOOKUP($F76,'SKILLED EMPLOYMENT'!$A$1506:$BW$1841,74,FALSE)</f>
        <v>67.2</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Stratford-on-Avon to Rural as a Region</v>
      </c>
      <c r="G79" s="102"/>
      <c r="H79" s="103"/>
      <c r="I79" s="74">
        <f>(I76-I77)</f>
        <v>3.3000000000000043</v>
      </c>
      <c r="J79" s="74">
        <f t="shared" ref="J79:Z79" si="17">(J76-J77)</f>
        <v>5.6000000000000014</v>
      </c>
      <c r="K79" s="74">
        <f t="shared" si="17"/>
        <v>5.2999999999999972</v>
      </c>
      <c r="L79" s="74">
        <f t="shared" si="17"/>
        <v>5.7999999999999972</v>
      </c>
      <c r="M79" s="74">
        <f t="shared" si="17"/>
        <v>5.3999999999999986</v>
      </c>
      <c r="N79" s="74">
        <f t="shared" si="17"/>
        <v>10.699999999999996</v>
      </c>
      <c r="O79" s="74">
        <f t="shared" si="17"/>
        <v>3.6999999999999957</v>
      </c>
      <c r="P79" s="74">
        <f t="shared" si="17"/>
        <v>-3.4000000000000057</v>
      </c>
      <c r="Q79" s="74">
        <f t="shared" si="17"/>
        <v>6.1000000000000014</v>
      </c>
      <c r="R79" s="74">
        <f t="shared" si="17"/>
        <v>5.1999999999999957</v>
      </c>
      <c r="S79" s="74">
        <f t="shared" si="17"/>
        <v>8.8999999999999915</v>
      </c>
      <c r="T79" s="74">
        <f t="shared" si="17"/>
        <v>13.799999999999997</v>
      </c>
      <c r="U79" s="74">
        <f t="shared" si="17"/>
        <v>10.300000000000004</v>
      </c>
      <c r="V79" s="74">
        <f t="shared" si="17"/>
        <v>13.000000000000007</v>
      </c>
      <c r="W79" s="74">
        <f t="shared" si="17"/>
        <v>5.3000000000000114</v>
      </c>
      <c r="X79" s="74">
        <f t="shared" si="17"/>
        <v>-0.59999999999999432</v>
      </c>
      <c r="Y79" s="74">
        <f t="shared" si="17"/>
        <v>2.6999999999999957</v>
      </c>
      <c r="Z79" s="74">
        <f t="shared" si="17"/>
        <v>8.8000000000000043</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HFu6PjoSK0z+2eswh+cTOjdWturg8Mkj44PtMmj/nhC8ilgOVbdoIg8ZTprZaOOFM8jZgwel1lv+OFnJjdbUKg==" saltValue="EwKjmAyaAZQMiDTNqWkdzw=="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2022-08-02T13:24:03Z</dcterms:modified>
</cp:coreProperties>
</file>