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4A7142F3-9573-4331-9172-1FD51460DA8D}" xr6:coauthVersionLast="47" xr6:coauthVersionMax="47" xr10:uidLastSave="{0416B44D-3D19-4280-B1AD-A91BEC734EE1}"/>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<sst xmlns="http://schemas.openxmlformats.org/spreadsheetml/2006/main" count="32859" uniqueCount="1676">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</sst>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Stroud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23.24</c:v>
                </c:pt>
                <c:pt idx="1">
                  <c:v>23.14</c:v>
                </c:pt>
                <c:pt idx="2">
                  <c:v>22.86</c:v>
                </c:pt>
                <c:pt idx="3">
                  <c:v>22.3</c:v>
                </c:pt>
                <c:pt idx="4">
                  <c:v>21.89</c:v>
                </c:pt>
                <c:pt idx="5">
                  <c:v>22.12</c:v>
                </c:pt>
                <c:pt idx="6">
                  <c:v>22.92</c:v>
                </c:pt>
                <c:pt idx="7">
                  <c:v>23.57</c:v>
                </c:pt>
                <c:pt idx="8">
                  <c:v>24.05</c:v>
                </c:pt>
                <c:pt idx="9">
                  <c:v>24.13</c:v>
                </c:pt>
                <c:pt idx="10">
                  <c:v>24.44</c:v>
                </c:pt>
                <c:pt idx="11">
                  <c:v>25.21</c:v>
                </c:pt>
                <c:pt idx="12">
                  <c:v>26.56</c:v>
                </c:pt>
                <c:pt idx="13">
                  <c:v>28.08</c:v>
                </c:pt>
                <c:pt idx="14">
                  <c:v>29.02</c:v>
                </c:pt>
                <c:pt idx="15">
                  <c:v>29.42</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Stroud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456.1</c:v>
                </c:pt>
                <c:pt idx="1">
                  <c:v>450.3</c:v>
                </c:pt>
                <c:pt idx="2">
                  <c:v>488.4</c:v>
                </c:pt>
                <c:pt idx="3">
                  <c:v>463.4</c:v>
                </c:pt>
                <c:pt idx="4">
                  <c:v>500.6</c:v>
                </c:pt>
                <c:pt idx="5">
                  <c:v>524.1</c:v>
                </c:pt>
                <c:pt idx="6">
                  <c:v>509.4</c:v>
                </c:pt>
                <c:pt idx="7">
                  <c:v>531.1</c:v>
                </c:pt>
                <c:pt idx="8">
                  <c:v>535.79999999999995</c:v>
                </c:pt>
                <c:pt idx="9">
                  <c:v>545.9</c:v>
                </c:pt>
                <c:pt idx="10">
                  <c:v>574.9</c:v>
                </c:pt>
                <c:pt idx="11">
                  <c:v>574.9</c:v>
                </c:pt>
                <c:pt idx="12">
                  <c:v>575.1</c:v>
                </c:pt>
                <c:pt idx="13">
                  <c:v>594.1</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Stroud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77.400000000000006</c:v>
                </c:pt>
                <c:pt idx="1">
                  <c:v>77.099999999999994</c:v>
                </c:pt>
                <c:pt idx="2">
                  <c:v>74.7</c:v>
                </c:pt>
                <c:pt idx="3">
                  <c:v>79.900000000000006</c:v>
                </c:pt>
                <c:pt idx="4">
                  <c:v>82.3</c:v>
                </c:pt>
                <c:pt idx="5">
                  <c:v>76.099999999999994</c:v>
                </c:pt>
                <c:pt idx="6">
                  <c:v>77.900000000000006</c:v>
                </c:pt>
                <c:pt idx="7">
                  <c:v>77.7</c:v>
                </c:pt>
                <c:pt idx="8">
                  <c:v>80.599999999999994</c:v>
                </c:pt>
                <c:pt idx="9">
                  <c:v>82.6</c:v>
                </c:pt>
                <c:pt idx="10">
                  <c:v>83.3</c:v>
                </c:pt>
                <c:pt idx="11">
                  <c:v>83.8</c:v>
                </c:pt>
                <c:pt idx="12">
                  <c:v>89.6</c:v>
                </c:pt>
                <c:pt idx="13">
                  <c:v>80.900000000000006</c:v>
                </c:pt>
                <c:pt idx="14">
                  <c:v>85.2</c:v>
                </c:pt>
                <c:pt idx="15">
                  <c:v>83.5</c:v>
                </c:pt>
                <c:pt idx="16">
                  <c:v>80.400000000000006</c:v>
                </c:pt>
                <c:pt idx="17">
                  <c:v>74.900000000000006</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Stroud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14833</c:v>
                </c:pt>
                <c:pt idx="1">
                  <c:v>15854</c:v>
                </c:pt>
                <c:pt idx="2">
                  <c:v>16529</c:v>
                </c:pt>
                <c:pt idx="3">
                  <c:v>17234</c:v>
                </c:pt>
                <c:pt idx="4">
                  <c:v>17809</c:v>
                </c:pt>
                <c:pt idx="5">
                  <c:v>17679</c:v>
                </c:pt>
                <c:pt idx="6">
                  <c:v>18035</c:v>
                </c:pt>
                <c:pt idx="7">
                  <c:v>18296</c:v>
                </c:pt>
                <c:pt idx="8">
                  <c:v>18890</c:v>
                </c:pt>
                <c:pt idx="9">
                  <c:v>19681</c:v>
                </c:pt>
                <c:pt idx="10">
                  <c:v>20643</c:v>
                </c:pt>
                <c:pt idx="11">
                  <c:v>21564</c:v>
                </c:pt>
                <c:pt idx="12">
                  <c:v>21634</c:v>
                </c:pt>
                <c:pt idx="13">
                  <c:v>21786</c:v>
                </c:pt>
                <c:pt idx="14">
                  <c:v>23034</c:v>
                </c:pt>
                <c:pt idx="15">
                  <c:v>23588</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Stroud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16.899999999999999</c:v>
                </c:pt>
                <c:pt idx="1">
                  <c:v>15.3</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Stroud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18.899999999999999</c:v>
                </c:pt>
                <c:pt idx="1">
                  <c:v>19.2</c:v>
                </c:pt>
                <c:pt idx="2">
                  <c:v>20</c:v>
                </c:pt>
                <c:pt idx="3">
                  <c:v>18.600000000000001</c:v>
                </c:pt>
                <c:pt idx="4">
                  <c:v>14.5</c:v>
                </c:pt>
                <c:pt idx="5">
                  <c:v>17.7</c:v>
                </c:pt>
                <c:pt idx="6">
                  <c:v>16.2</c:v>
                </c:pt>
                <c:pt idx="7">
                  <c:v>19.2</c:v>
                </c:pt>
                <c:pt idx="8">
                  <c:v>16.100000000000001</c:v>
                </c:pt>
                <c:pt idx="9">
                  <c:v>13.5</c:v>
                </c:pt>
                <c:pt idx="10">
                  <c:v>16</c:v>
                </c:pt>
                <c:pt idx="11">
                  <c:v>13.7</c:v>
                </c:pt>
                <c:pt idx="12">
                  <c:v>8.5</c:v>
                </c:pt>
                <c:pt idx="13">
                  <c:v>18.2</c:v>
                </c:pt>
                <c:pt idx="14">
                  <c:v>11.2</c:v>
                </c:pt>
                <c:pt idx="15">
                  <c:v>15.1</c:v>
                </c:pt>
                <c:pt idx="16">
                  <c:v>17.5</c:v>
                </c:pt>
                <c:pt idx="17">
                  <c:v>21.3</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Stroud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21.300000000000011</c:v>
                </c:pt>
                <c:pt idx="1">
                  <c:v>21</c:v>
                </c:pt>
                <c:pt idx="2">
                  <c:v>19.700000000000003</c:v>
                </c:pt>
                <c:pt idx="3">
                  <c:v>15.799999999999997</c:v>
                </c:pt>
                <c:pt idx="4">
                  <c:v>10.399999999999991</c:v>
                </c:pt>
                <c:pt idx="5">
                  <c:v>15.5</c:v>
                </c:pt>
                <c:pt idx="6">
                  <c:v>22.5</c:v>
                </c:pt>
                <c:pt idx="7">
                  <c:v>29.6</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Stroud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6.9189052502761541</c:v>
                </c:pt>
                <c:pt idx="1">
                  <c:v>0</c:v>
                </c:pt>
                <c:pt idx="2">
                  <c:v>9.0985850018736976</c:v>
                </c:pt>
                <c:pt idx="3">
                  <c:v>17.822199511724296</c:v>
                </c:pt>
                <c:pt idx="4">
                  <c:v>9.0019186054770124</c:v>
                </c:pt>
                <c:pt idx="5">
                  <c:v>3.4286328460877042</c:v>
                </c:pt>
                <c:pt idx="6">
                  <c:v>0</c:v>
                </c:pt>
                <c:pt idx="7">
                  <c:v>6.2093642274294192</c:v>
                </c:pt>
                <c:pt idx="8">
                  <c:v>0</c:v>
                </c:pt>
                <c:pt idx="9">
                  <c:v>6.0827537427796772</c:v>
                </c:pt>
                <c:pt idx="10">
                  <c:v>5.191333708497468</c:v>
                </c:pt>
                <c:pt idx="11">
                  <c:v>11.581642702383297</c:v>
                </c:pt>
                <c:pt idx="12">
                  <c:v>15.609300151886904</c:v>
                </c:pt>
                <c:pt idx="13">
                  <c:v>0</c:v>
                </c:pt>
                <c:pt idx="14">
                  <c:v>4.2223941638112077</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Stroud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56.9</c:v>
                </c:pt>
                <c:pt idx="1">
                  <c:v>55.999999999999993</c:v>
                </c:pt>
                <c:pt idx="2">
                  <c:v>60.2</c:v>
                </c:pt>
                <c:pt idx="3">
                  <c:v>63.7</c:v>
                </c:pt>
                <c:pt idx="4">
                  <c:v>61.5</c:v>
                </c:pt>
                <c:pt idx="5">
                  <c:v>65.400000000000006</c:v>
                </c:pt>
                <c:pt idx="6">
                  <c:v>61.7</c:v>
                </c:pt>
                <c:pt idx="7">
                  <c:v>63.8</c:v>
                </c:pt>
                <c:pt idx="8">
                  <c:v>63.5</c:v>
                </c:pt>
                <c:pt idx="9">
                  <c:v>57.099999999999994</c:v>
                </c:pt>
                <c:pt idx="10">
                  <c:v>66.8</c:v>
                </c:pt>
                <c:pt idx="11">
                  <c:v>55.8</c:v>
                </c:pt>
                <c:pt idx="12">
                  <c:v>62.6</c:v>
                </c:pt>
                <c:pt idx="13">
                  <c:v>55.1</c:v>
                </c:pt>
                <c:pt idx="14">
                  <c:v>50.5</c:v>
                </c:pt>
                <c:pt idx="15">
                  <c:v>60.9</c:v>
                </c:pt>
                <c:pt idx="16">
                  <c:v>58.2</c:v>
                </c:pt>
                <c:pt idx="17">
                  <c:v>62.2</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Stroud has been from 2004 to 2021 generally greater than that seen for both rural and England.</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Starting from a higher point, GDHI within Stroud from 2004 to 2019 has seen a greater rate of increase than rural and England have, moving it further beyond both.</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Stroud is below both the rural and England situation and falls between 2017 and 2018.</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Stroud's economic inactivity rate has fluctuated over the years and reached a high in 2021.</a:t>
          </a:r>
          <a:endParaRPr lang="en-GB" sz="1100">
            <a:latin typeface="Avenir Next LT Pro" panose="020B0504020202020204" pitchFamily="34" charset="0"/>
          </a:endParaRP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Stroud decreased from 2014 to 2018, but has subsequently seen consistent increases to 2021 taking it above both the England and rural situation.</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Stroud has been less stable and has in certain years been greater and other years lower than both the England and rural average position.</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Stroud in general has a higher proportion of employed people in skilled employment than seen for 'Rural as a Region'.</a:t>
          </a:r>
          <a:endParaRPr lang="en-GB" sz="1100">
            <a:latin typeface="Avenir Next LT Pro" panose="020B0504020202020204" pitchFamily="34" charset="0"/>
          </a:endParaRPr>
        </a:p>
      </xdr:txBody>
    </xdr:sp>
    <xdr:clientData/>
  </xdr:twoCellAnchor>
  <xdr:twoCellAnchor>
    <xdr:from>
      <xdr:col>0</xdr:col>
      <xdr:colOff>632460</xdr:colOff>
      <xdr:row>20</xdr:row>
      <xdr:rowOff>624840</xdr:rowOff>
    </xdr:from>
    <xdr:to>
      <xdr:col>1</xdr:col>
      <xdr:colOff>2613660</xdr:colOff>
      <xdr:row>22</xdr:row>
      <xdr:rowOff>152400</xdr:rowOff>
    </xdr:to>
    <xdr:sp macro="" textlink="">
      <xdr:nvSpPr>
        <xdr:cNvPr id="20" name="TextBox 19">
          <a:extLst>
            <a:ext uri="{FF2B5EF4-FFF2-40B4-BE49-F238E27FC236}">
              <a16:creationId xmlns:a16="http://schemas.microsoft.com/office/drawing/2014/main" id="{58ED3A12-DA93-4764-ACCF-CBC67F30DE4E}"/>
            </a:ext>
          </a:extLst>
        </xdr:cNvPr>
        <xdr:cNvSpPr txBox="1"/>
      </xdr:nvSpPr>
      <xdr:spPr>
        <a:xfrm>
          <a:off x="632460" y="755142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Stroud has with some fluctuation </a:t>
          </a:r>
          <a:r>
            <a:rPr lang="en-GB" sz="1100" baseline="0">
              <a:solidFill>
                <a:schemeClr val="dk1"/>
              </a:solidFill>
              <a:effectLst/>
              <a:latin typeface="Avenir Next LT Pro" panose="020B0504020202020204" pitchFamily="34" charset="0"/>
              <a:ea typeface="+mn-ea"/>
              <a:cs typeface="+mn-cs"/>
            </a:rPr>
            <a:t>between 2008 and 2021 </a:t>
          </a:r>
          <a:r>
            <a:rPr lang="en-GB" sz="1100" baseline="0">
              <a:latin typeface="Avenir Next LT Pro" panose="020B0504020202020204" pitchFamily="34" charset="0"/>
            </a:rPr>
            <a:t>moved closer to the England situation.</a:t>
          </a:r>
          <a:endParaRPr lang="en-GB" sz="1100">
            <a:latin typeface="Avenir Next LT Pro" panose="020B0504020202020204" pitchFamily="34" charset="0"/>
          </a:endParaRPr>
        </a:p>
      </xdr:txBody>
    </xdr:sp>
    <xdr:clientData/>
  </xdr:twoCellAnchor>
  <xdr:twoCellAnchor>
    <xdr:from>
      <xdr:col>0</xdr:col>
      <xdr:colOff>609600</xdr:colOff>
      <xdr:row>12</xdr:row>
      <xdr:rowOff>541020</xdr:rowOff>
    </xdr:from>
    <xdr:to>
      <xdr:col>1</xdr:col>
      <xdr:colOff>2590800</xdr:colOff>
      <xdr:row>14</xdr:row>
      <xdr:rowOff>190500</xdr:rowOff>
    </xdr:to>
    <xdr:sp macro="" textlink="">
      <xdr:nvSpPr>
        <xdr:cNvPr id="21" name="TextBox 20">
          <a:extLst>
            <a:ext uri="{FF2B5EF4-FFF2-40B4-BE49-F238E27FC236}">
              <a16:creationId xmlns:a16="http://schemas.microsoft.com/office/drawing/2014/main" id="{909B1E05-5218-4E76-A71B-74386C87C29B}"/>
            </a:ext>
          </a:extLst>
        </xdr:cNvPr>
        <xdr:cNvSpPr txBox="1"/>
      </xdr:nvSpPr>
      <xdr:spPr>
        <a:xfrm>
          <a:off x="609600" y="3528060"/>
          <a:ext cx="6682740" cy="9448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Stroud starts in 2004 at roughly the same level as 'Rural as a Region', however it then falls behind the rural situation and despite bouncing back does not fully recover by 2019.</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21" t="s">
        <v>1666</v>
      </c>
      <c r="B1" s="121"/>
      <c r="C1" s="121"/>
    </row>
    <row r="2" spans="1:24" ht="21" customHeight="1" x14ac:dyDescent="0.3">
      <c r="A2" s="121"/>
      <c r="B2" s="121"/>
      <c r="C2" s="121"/>
    </row>
    <row r="3" spans="1:24" ht="15" thickBot="1" x14ac:dyDescent="0.35"/>
    <row r="4" spans="1:24" ht="16.2" thickBot="1" x14ac:dyDescent="0.35">
      <c r="A4" s="65" t="s">
        <v>1635</v>
      </c>
      <c r="B4" s="57" t="s">
        <v>445</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13" t="s">
        <v>1668</v>
      </c>
      <c r="G11" s="113"/>
      <c r="H11" s="114"/>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Stroud</v>
      </c>
      <c r="G12" s="88" t="str">
        <f>IFERROR(VLOOKUP(F12,GVA!B244:B552,1,FALSE),VLOOKUP(F12,GVA!B6:C230,2,FALSE))</f>
        <v>Stroud</v>
      </c>
      <c r="H12" s="89" t="str">
        <f>IF(F12=G12,"",G12)</f>
        <v/>
      </c>
      <c r="I12" s="76">
        <f>IFERROR(VLOOKUP($F12,GVA!$B$7:$S$230,GVA!D$3,FALSE),VLOOKUP($F12,GVA!$B$244:$T$554,GVA!E$3,FALSE))</f>
        <v>23.24</v>
      </c>
      <c r="J12" s="77">
        <f>IFERROR(VLOOKUP($F12,GVA!$B$7:$S$230,GVA!E$3,FALSE),VLOOKUP($F12,GVA!$B$244:$T$554,GVA!F$3,FALSE))</f>
        <v>23.14</v>
      </c>
      <c r="K12" s="77">
        <f>IFERROR(VLOOKUP($F12,GVA!$B$7:$S$230,GVA!F$3,FALSE),VLOOKUP($F12,GVA!$B$244:$T$554,GVA!G$3,FALSE))</f>
        <v>22.86</v>
      </c>
      <c r="L12" s="77">
        <f>IFERROR(VLOOKUP($F12,GVA!$B$7:$S$230,GVA!G$3,FALSE),VLOOKUP($F12,GVA!$B$244:$T$554,GVA!H$3,FALSE))</f>
        <v>22.3</v>
      </c>
      <c r="M12" s="77">
        <f>IFERROR(VLOOKUP($F12,GVA!$B$7:$S$230,GVA!H$3,FALSE),VLOOKUP($F12,GVA!$B$244:$T$554,GVA!I$3,FALSE))</f>
        <v>21.89</v>
      </c>
      <c r="N12" s="77">
        <f>IFERROR(VLOOKUP($F12,GVA!$B$7:$S$230,GVA!I$3,FALSE),VLOOKUP($F12,GVA!$B$244:$T$554,GVA!J$3,FALSE))</f>
        <v>22.12</v>
      </c>
      <c r="O12" s="77">
        <f>IFERROR(VLOOKUP($F12,GVA!$B$7:$S$230,GVA!J$3,FALSE),VLOOKUP($F12,GVA!$B$244:$T$554,GVA!K$3,FALSE))</f>
        <v>22.92</v>
      </c>
      <c r="P12" s="77">
        <f>IFERROR(VLOOKUP($F12,GVA!$B$7:$S$230,GVA!K$3,FALSE),VLOOKUP($F12,GVA!$B$244:$T$554,GVA!L$3,FALSE))</f>
        <v>23.57</v>
      </c>
      <c r="Q12" s="77">
        <f>IFERROR(VLOOKUP($F12,GVA!$B$7:$S$230,GVA!L$3,FALSE),VLOOKUP($F12,GVA!$B$244:$T$554,GVA!M$3,FALSE))</f>
        <v>24.05</v>
      </c>
      <c r="R12" s="77">
        <f>IFERROR(VLOOKUP($F12,GVA!$B$7:$S$230,GVA!M$3,FALSE),VLOOKUP($F12,GVA!$B$244:$T$554,GVA!N$3,FALSE))</f>
        <v>24.13</v>
      </c>
      <c r="S12" s="77">
        <f>IFERROR(VLOOKUP($F12,GVA!$B$7:$S$230,GVA!N$3,FALSE),VLOOKUP($F12,GVA!$B$244:$T$554,GVA!O$3,FALSE))</f>
        <v>24.44</v>
      </c>
      <c r="T12" s="77">
        <f>IFERROR(VLOOKUP($F12,GVA!$B$7:$S$230,GVA!O$3,FALSE),VLOOKUP($F12,GVA!$B$244:$T$554,GVA!P$3,FALSE))</f>
        <v>25.21</v>
      </c>
      <c r="U12" s="77">
        <f>IFERROR(VLOOKUP($F12,GVA!$B$7:$S$230,GVA!P$3,FALSE),VLOOKUP($F12,GVA!$B$244:$T$554,GVA!Q$3,FALSE))</f>
        <v>26.56</v>
      </c>
      <c r="V12" s="77">
        <f>IFERROR(VLOOKUP($F12,GVA!$B$7:$S$230,GVA!Q$3,FALSE),VLOOKUP($F12,GVA!$B$244:$T$554,GVA!R$3,FALSE))</f>
        <v>28.08</v>
      </c>
      <c r="W12" s="77">
        <f>IFERROR(VLOOKUP($F12,GVA!$B$7:$S$230,GVA!R$3,FALSE),VLOOKUP($F12,GVA!$B$244:$T$554,GVA!S$3,FALSE))</f>
        <v>29.02</v>
      </c>
      <c r="X12" s="77">
        <f>IFERROR(VLOOKUP($F12,GVA!$B$7:$S$230,GVA!S$3,FALSE),VLOOKUP($F12,GVA!$B$244:$T$554,GVA!T$3,FALSE))</f>
        <v>29.42</v>
      </c>
    </row>
    <row r="13" spans="1:24" ht="51" customHeight="1" x14ac:dyDescent="0.3">
      <c r="B13" s="56"/>
      <c r="C13" s="56"/>
      <c r="D13" s="56"/>
      <c r="F13" s="107" t="s">
        <v>1648</v>
      </c>
      <c r="G13" s="108"/>
      <c r="H13" s="109"/>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0" t="s">
        <v>1010</v>
      </c>
      <c r="G14" s="111"/>
      <c r="H14" s="112"/>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01" t="str">
        <f>"% Gap - "&amp;F12&amp;" to Rural as a Region"</f>
        <v>% Gap - Stroud to Rural as a Region</v>
      </c>
      <c r="G15" s="102"/>
      <c r="H15" s="103"/>
      <c r="I15" s="74">
        <f>100*((I12-I13)/I13)</f>
        <v>-1.2749257852601794</v>
      </c>
      <c r="J15" s="74">
        <f t="shared" ref="J15:X15" si="0">100*((J12-J13)/J13)</f>
        <v>-1.4260502667505124</v>
      </c>
      <c r="K15" s="74">
        <f t="shared" si="0"/>
        <v>-5.9411323860046705</v>
      </c>
      <c r="L15" s="74">
        <f t="shared" si="0"/>
        <v>-10.220279519181014</v>
      </c>
      <c r="M15" s="74">
        <f t="shared" si="0"/>
        <v>-13.357176177888336</v>
      </c>
      <c r="N15" s="74">
        <f t="shared" si="0"/>
        <v>-13.162064018021132</v>
      </c>
      <c r="O15" s="74">
        <f t="shared" si="0"/>
        <v>-11.128754552546392</v>
      </c>
      <c r="P15" s="74">
        <f t="shared" si="0"/>
        <v>-9.9510158413950105</v>
      </c>
      <c r="Q15" s="74">
        <f t="shared" si="0"/>
        <v>-9.9612247626688148</v>
      </c>
      <c r="R15" s="74">
        <f t="shared" si="0"/>
        <v>-11.201650741913904</v>
      </c>
      <c r="S15" s="74">
        <f t="shared" si="0"/>
        <v>-11.528267980193693</v>
      </c>
      <c r="T15" s="74">
        <f t="shared" si="0"/>
        <v>-10.437989545093112</v>
      </c>
      <c r="U15" s="74">
        <f t="shared" si="0"/>
        <v>-7.8961817438725683</v>
      </c>
      <c r="V15" s="74">
        <f t="shared" si="0"/>
        <v>-5.201856801237863</v>
      </c>
      <c r="W15" s="74">
        <f t="shared" si="0"/>
        <v>-4.0166319511435802</v>
      </c>
      <c r="X15" s="74">
        <f t="shared" si="0"/>
        <v>-3.7029821027077894</v>
      </c>
    </row>
    <row r="16" spans="1:24" ht="51" customHeight="1" x14ac:dyDescent="0.3">
      <c r="B16" s="56"/>
      <c r="C16" s="56"/>
      <c r="D16" s="56"/>
      <c r="F16" s="117" t="s">
        <v>1667</v>
      </c>
      <c r="G16" s="118"/>
      <c r="H16" s="119"/>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13" t="s">
        <v>0</v>
      </c>
      <c r="G19" s="113"/>
      <c r="H19" s="114"/>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Stroud</v>
      </c>
      <c r="G20" s="88"/>
      <c r="H20" s="89"/>
      <c r="I20" s="80">
        <f>IF(VLOOKUP($F20,PAY!$A$11:$AE$349,4,FALSE)="-",#N/A,VLOOKUP($F20,PAY!$A$11:$AE$349,4,FALSE))</f>
        <v>456.1</v>
      </c>
      <c r="J20" s="80">
        <f>IF(VLOOKUP($F20,PAY!$A$11:$AE$349,6,FALSE)="-",#N/A,VLOOKUP($F20,PAY!$A$11:$AE$349,6,FALSE))</f>
        <v>450.3</v>
      </c>
      <c r="K20" s="80">
        <f>IF(VLOOKUP($F20,PAY!$A$11:$AE$349,8,FALSE)="-",#N/A,VLOOKUP($F20,PAY!$A$11:$AE$349,8,FALSE))</f>
        <v>488.4</v>
      </c>
      <c r="L20" s="80">
        <f>IF(VLOOKUP($F20,PAY!$A$11:$AE$349,10,FALSE)="-",#N/A,VLOOKUP($F20,PAY!$A$11:$AE$349,10,FALSE))</f>
        <v>463.4</v>
      </c>
      <c r="M20" s="80">
        <f>IF(VLOOKUP($F20,PAY!$A$11:$AE$349,12,FALSE)="-",#N/A,VLOOKUP($F20,PAY!$A$11:$AE$349,12,FALSE))</f>
        <v>500.6</v>
      </c>
      <c r="N20" s="80">
        <f>IF(VLOOKUP($F20,PAY!$A$11:$AE$349,14,FALSE)="-",#N/A,VLOOKUP($F20,PAY!$A$11:$AE$349,14,FALSE))</f>
        <v>524.1</v>
      </c>
      <c r="O20" s="80">
        <f>IF(VLOOKUP($F20,PAY!$A$11:$AE$349,16,FALSE)="-",#N/A,VLOOKUP($F20,PAY!$A$11:$AE$349,16,FALSE))</f>
        <v>509.4</v>
      </c>
      <c r="P20" s="80">
        <f>IF(VLOOKUP($F20,PAY!$A$11:$AE$349,18,FALSE)="-",#N/A,VLOOKUP($F20,PAY!$A$11:$AE$349,18,FALSE))</f>
        <v>531.1</v>
      </c>
      <c r="Q20" s="80">
        <f>IF(VLOOKUP($F20,PAY!$A$11:$AE$349,20,FALSE)="-",#N/A,VLOOKUP($F20,PAY!$A$11:$AE$349,20,FALSE))</f>
        <v>535.79999999999995</v>
      </c>
      <c r="R20" s="80">
        <f>IF(VLOOKUP($F20,PAY!$A$11:$AE$349,22,FALSE)="-",#N/A,VLOOKUP($F20,PAY!$A$11:$AE$349,22,FALSE))</f>
        <v>545.9</v>
      </c>
      <c r="S20" s="80">
        <f>IF(VLOOKUP($F20,PAY!$A$11:$AE$349,24,FALSE)="-",#N/A,VLOOKUP($F20,PAY!$A$11:$AE$349,24,FALSE))</f>
        <v>574.9</v>
      </c>
      <c r="T20" s="80">
        <f>IF(VLOOKUP($F20,PAY!$A$11:$AE$349,26,FALSE)="-",#N/A,VLOOKUP($F20,PAY!$A$11:$AE$349,26,FALSE))</f>
        <v>574.9</v>
      </c>
      <c r="U20" s="80">
        <f>IF(VLOOKUP($F20,PAY!$A$11:$AE$349,28,FALSE)="-",#N/A,VLOOKUP($F20,PAY!$A$11:$AE$349,28,FALSE))</f>
        <v>575.1</v>
      </c>
      <c r="V20" s="80">
        <f>IF(VLOOKUP($F20,PAY!$A$11:$AE$349,30,FALSE)="-",#N/A,VLOOKUP($F20,PAY!$A$11:$AE$349,30,FALSE))</f>
        <v>594.1</v>
      </c>
    </row>
    <row r="21" spans="1:26" ht="51" customHeight="1" x14ac:dyDescent="0.3">
      <c r="B21" s="56"/>
      <c r="C21" s="56"/>
      <c r="D21" s="56"/>
      <c r="F21" s="107" t="s">
        <v>1648</v>
      </c>
      <c r="G21" s="108"/>
      <c r="H21" s="109"/>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0" t="s">
        <v>1010</v>
      </c>
      <c r="G22" s="111"/>
      <c r="H22" s="112"/>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01" t="str">
        <f>"% Gap - "&amp;F20&amp;" to Rural as a Region"</f>
        <v>% Gap - Stroud to Rural as a Region</v>
      </c>
      <c r="G23" s="102"/>
      <c r="H23" s="103"/>
      <c r="I23" s="74">
        <f>100*((I20-I21)/I21)</f>
        <v>5.3367206136863352</v>
      </c>
      <c r="J23" s="74">
        <f t="shared" ref="J23:V23" si="2">100*((J20-J21)/J21)</f>
        <v>3.0611661040224294</v>
      </c>
      <c r="K23" s="74">
        <f t="shared" si="2"/>
        <v>8.9904493953543234</v>
      </c>
      <c r="L23" s="74">
        <f t="shared" si="2"/>
        <v>2.828524560693916</v>
      </c>
      <c r="M23" s="74">
        <f t="shared" si="2"/>
        <v>9.9632412232164107</v>
      </c>
      <c r="N23" s="74">
        <f t="shared" si="2"/>
        <v>13.154471366963104</v>
      </c>
      <c r="O23" s="74">
        <f t="shared" si="2"/>
        <v>8.1982287179983508</v>
      </c>
      <c r="P23" s="74">
        <f t="shared" si="2"/>
        <v>11.852554857388121</v>
      </c>
      <c r="Q23" s="74">
        <f t="shared" si="2"/>
        <v>9.4625941643327405</v>
      </c>
      <c r="R23" s="74">
        <f t="shared" si="2"/>
        <v>8.3012518677565872</v>
      </c>
      <c r="S23" s="74">
        <f t="shared" si="2"/>
        <v>11.755711437573051</v>
      </c>
      <c r="T23" s="74">
        <f t="shared" si="2"/>
        <v>7.7199329923467692</v>
      </c>
      <c r="U23" s="74">
        <f t="shared" si="2"/>
        <v>8.2952560292216351</v>
      </c>
      <c r="V23" s="74">
        <f t="shared" si="2"/>
        <v>5.2894213707826001</v>
      </c>
    </row>
    <row r="24" spans="1:26" ht="51" customHeight="1" x14ac:dyDescent="0.3">
      <c r="B24" s="56"/>
      <c r="C24" s="56"/>
      <c r="D24" s="56"/>
      <c r="F24" s="104" t="s">
        <v>1667</v>
      </c>
      <c r="G24" s="105"/>
      <c r="H24" s="106"/>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5" t="s">
        <v>1669</v>
      </c>
      <c r="G27" s="115"/>
      <c r="H27" s="116"/>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Stroud</v>
      </c>
      <c r="G28" s="88"/>
      <c r="H28" s="89"/>
      <c r="I28" s="76">
        <f>VLOOKUP($F28,EMPLOYMENT!$A$6:$BW$345,6,FALSE)</f>
        <v>77.400000000000006</v>
      </c>
      <c r="J28" s="77">
        <f>VLOOKUP($F28,EMPLOYMENT!$A$6:$BW$345,10,FALSE)</f>
        <v>77.099999999999994</v>
      </c>
      <c r="K28" s="77">
        <f>VLOOKUP($F28,EMPLOYMENT!$A$6:$BW$345,14,FALSE)</f>
        <v>74.7</v>
      </c>
      <c r="L28" s="77">
        <f>VLOOKUP($F28,EMPLOYMENT!$A$6:$BW$345,18,FALSE)</f>
        <v>79.900000000000006</v>
      </c>
      <c r="M28" s="77">
        <f>VLOOKUP($F28,EMPLOYMENT!$A$6:$BW$345,22,FALSE)</f>
        <v>82.3</v>
      </c>
      <c r="N28" s="77">
        <f>VLOOKUP($F28,EMPLOYMENT!$A$6:$BW$345,26,FALSE)</f>
        <v>76.099999999999994</v>
      </c>
      <c r="O28" s="77">
        <f>VLOOKUP($F28,EMPLOYMENT!$A$6:$BW$345,30,FALSE)</f>
        <v>77.900000000000006</v>
      </c>
      <c r="P28" s="77">
        <f>VLOOKUP($F28,EMPLOYMENT!$A$6:$BW$345,34,FALSE)</f>
        <v>77.7</v>
      </c>
      <c r="Q28" s="77">
        <f>VLOOKUP($F28,EMPLOYMENT!$A$6:$BW$345,38,FALSE)</f>
        <v>80.599999999999994</v>
      </c>
      <c r="R28" s="77">
        <f>VLOOKUP($F28,EMPLOYMENT!$A$6:$BW$345,42,FALSE)</f>
        <v>82.6</v>
      </c>
      <c r="S28" s="77">
        <f>VLOOKUP($F28,EMPLOYMENT!$A$6:$BW$345,46,FALSE)</f>
        <v>83.3</v>
      </c>
      <c r="T28" s="77">
        <f>VLOOKUP($F28,EMPLOYMENT!$A$6:$BW$345,50,FALSE)</f>
        <v>83.8</v>
      </c>
      <c r="U28" s="77">
        <f>VLOOKUP($F28,EMPLOYMENT!$A$6:$BW$345,54,FALSE)</f>
        <v>89.6</v>
      </c>
      <c r="V28" s="77">
        <f>VLOOKUP($F28,EMPLOYMENT!$A$6:$BW$345,58,FALSE)</f>
        <v>80.900000000000006</v>
      </c>
      <c r="W28" s="77">
        <f>VLOOKUP($F28,EMPLOYMENT!$A$6:$BW$345,62,FALSE)</f>
        <v>85.2</v>
      </c>
      <c r="X28" s="77">
        <f>VLOOKUP($F28,EMPLOYMENT!$A$6:$BW$345,66,FALSE)</f>
        <v>83.5</v>
      </c>
      <c r="Y28" s="77">
        <f>VLOOKUP($F28,EMPLOYMENT!$A$6:$BW$345,70,FALSE)</f>
        <v>80.400000000000006</v>
      </c>
      <c r="Z28" s="77">
        <f>VLOOKUP($F28,EMPLOYMENT!$A$6:$BW$345,74,FALSE)</f>
        <v>74.900000000000006</v>
      </c>
    </row>
    <row r="29" spans="1:26" ht="51" customHeight="1" x14ac:dyDescent="0.3">
      <c r="B29" s="56"/>
      <c r="C29" s="56"/>
      <c r="D29" s="56"/>
      <c r="F29" s="107" t="s">
        <v>1648</v>
      </c>
      <c r="G29" s="108"/>
      <c r="H29" s="109"/>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0" t="s">
        <v>1010</v>
      </c>
      <c r="G30" s="111"/>
      <c r="H30" s="112"/>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01" t="str">
        <f>"% Gap - "&amp;F28&amp;" to Rural as a Region"</f>
        <v>% Gap - Stroud to Rural as a Region</v>
      </c>
      <c r="G31" s="102"/>
      <c r="H31" s="103"/>
      <c r="I31" s="74">
        <f>(I28-I29)</f>
        <v>1.2886580805982675</v>
      </c>
      <c r="J31" s="74">
        <f t="shared" ref="J31:Z31" si="4">(J28-J29)</f>
        <v>0.78702453331703737</v>
      </c>
      <c r="K31" s="74">
        <f t="shared" si="4"/>
        <v>-1.1731888994867603</v>
      </c>
      <c r="L31" s="74">
        <f t="shared" si="4"/>
        <v>4.259531697372168</v>
      </c>
      <c r="M31" s="74">
        <f t="shared" si="4"/>
        <v>6.5644756266682549</v>
      </c>
      <c r="N31" s="74">
        <f t="shared" si="4"/>
        <v>1.5904601571268131</v>
      </c>
      <c r="O31" s="74">
        <f t="shared" si="4"/>
        <v>4.3528668610301366</v>
      </c>
      <c r="P31" s="74">
        <f t="shared" si="4"/>
        <v>3.9657045967223894</v>
      </c>
      <c r="Q31" s="74">
        <f t="shared" si="4"/>
        <v>6.5668425245374209</v>
      </c>
      <c r="R31" s="74">
        <f t="shared" si="4"/>
        <v>7.8555250700997874</v>
      </c>
      <c r="S31" s="74">
        <f t="shared" si="4"/>
        <v>7.1911396599243886</v>
      </c>
      <c r="T31" s="74">
        <f t="shared" si="4"/>
        <v>6.6094680243909778</v>
      </c>
      <c r="U31" s="74">
        <f t="shared" si="4"/>
        <v>12.628367518291952</v>
      </c>
      <c r="V31" s="74">
        <f t="shared" si="4"/>
        <v>2.867213114754108</v>
      </c>
      <c r="W31" s="74">
        <f t="shared" si="4"/>
        <v>7.1518431065858579</v>
      </c>
      <c r="X31" s="74">
        <f t="shared" si="4"/>
        <v>4.9087006210432946</v>
      </c>
      <c r="Y31" s="74">
        <f t="shared" si="4"/>
        <v>3.3856537038708012</v>
      </c>
      <c r="Z31" s="74">
        <f t="shared" si="4"/>
        <v>-1.2557580778790367</v>
      </c>
    </row>
    <row r="32" spans="1:26" ht="51" customHeight="1" x14ac:dyDescent="0.3">
      <c r="B32" s="56"/>
      <c r="C32" s="56"/>
      <c r="D32" s="56"/>
      <c r="F32" s="104" t="s">
        <v>1667</v>
      </c>
      <c r="G32" s="105"/>
      <c r="H32" s="106"/>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20" t="s">
        <v>2</v>
      </c>
      <c r="B35" s="66" t="s">
        <v>1462</v>
      </c>
      <c r="C35" s="55"/>
      <c r="D35" s="55"/>
      <c r="F35" s="125" t="s">
        <v>1670</v>
      </c>
      <c r="G35" s="125"/>
      <c r="H35" s="126"/>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20"/>
      <c r="B36" s="67" t="s">
        <v>1633</v>
      </c>
      <c r="C36" s="56"/>
      <c r="D36" s="56"/>
      <c r="F36" s="87" t="str">
        <f>B4</f>
        <v>Stroud</v>
      </c>
      <c r="G36" s="88" t="str">
        <f>IFERROR(VLOOKUP(F36,GDHI!B338:C574,2,FALSE),VLOOKUP(F36,GDHI!C3:C336,1,FALSE))</f>
        <v>Stroud</v>
      </c>
      <c r="H36" s="89" t="str">
        <f>IF(F36=G36,"",G36)</f>
        <v/>
      </c>
      <c r="I36" s="83">
        <f>IFERROR(VLOOKUP($F36,GDHI!$B$338:$U$574,GDHI!G$578,FALSE),VLOOKUP($F36,GDHI!$C$3:$U$336,GDHI!F$578,FALSE))</f>
        <v>14833</v>
      </c>
      <c r="J36" s="84">
        <f>IFERROR(VLOOKUP($F36,GDHI!$B$338:$U$574,GDHI!H$578,FALSE),VLOOKUP($F36,GDHI!$C$3:$U$336,GDHI!G$578,FALSE))</f>
        <v>15854</v>
      </c>
      <c r="K36" s="84">
        <f>IFERROR(VLOOKUP($F36,GDHI!$B$338:$U$574,GDHI!I$578,FALSE),VLOOKUP($F36,GDHI!$C$3:$U$336,GDHI!H$578,FALSE))</f>
        <v>16529</v>
      </c>
      <c r="L36" s="84">
        <f>IFERROR(VLOOKUP($F36,GDHI!$B$338:$U$574,GDHI!J$578,FALSE),VLOOKUP($F36,GDHI!$C$3:$U$336,GDHI!I$578,FALSE))</f>
        <v>17234</v>
      </c>
      <c r="M36" s="84">
        <f>IFERROR(VLOOKUP($F36,GDHI!$B$338:$U$574,GDHI!K$578,FALSE),VLOOKUP($F36,GDHI!$C$3:$U$336,GDHI!J$578,FALSE))</f>
        <v>17809</v>
      </c>
      <c r="N36" s="84">
        <f>IFERROR(VLOOKUP($F36,GDHI!$B$338:$U$574,GDHI!L$578,FALSE),VLOOKUP($F36,GDHI!$C$3:$U$336,GDHI!K$578,FALSE))</f>
        <v>17679</v>
      </c>
      <c r="O36" s="84">
        <f>IFERROR(VLOOKUP($F36,GDHI!$B$338:$U$574,GDHI!M$578,FALSE),VLOOKUP($F36,GDHI!$C$3:$U$336,GDHI!L$578,FALSE))</f>
        <v>18035</v>
      </c>
      <c r="P36" s="84">
        <f>IFERROR(VLOOKUP($F36,GDHI!$B$338:$U$574,GDHI!N$578,FALSE),VLOOKUP($F36,GDHI!$C$3:$U$336,GDHI!M$578,FALSE))</f>
        <v>18296</v>
      </c>
      <c r="Q36" s="84">
        <f>IFERROR(VLOOKUP($F36,GDHI!$B$338:$U$574,GDHI!O$578,FALSE),VLOOKUP($F36,GDHI!$C$3:$U$336,GDHI!N$578,FALSE))</f>
        <v>18890</v>
      </c>
      <c r="R36" s="84">
        <f>IFERROR(VLOOKUP($F36,GDHI!$B$338:$U$574,GDHI!P$578,FALSE),VLOOKUP($F36,GDHI!$C$3:$U$336,GDHI!O$578,FALSE))</f>
        <v>19681</v>
      </c>
      <c r="S36" s="84">
        <f>IFERROR(VLOOKUP($F36,GDHI!$B$338:$U$574,GDHI!Q$578,FALSE),VLOOKUP($F36,GDHI!$C$3:$U$336,GDHI!P$578,FALSE))</f>
        <v>20643</v>
      </c>
      <c r="T36" s="84">
        <f>IFERROR(VLOOKUP($F36,GDHI!$B$338:$U$574,GDHI!R$578,FALSE),VLOOKUP($F36,GDHI!$C$3:$U$336,GDHI!Q$578,FALSE))</f>
        <v>21564</v>
      </c>
      <c r="U36" s="84">
        <f>IFERROR(VLOOKUP($F36,GDHI!$B$338:$U$574,GDHI!S$578,FALSE),VLOOKUP($F36,GDHI!$C$3:$U$336,GDHI!R$578,FALSE))</f>
        <v>21634</v>
      </c>
      <c r="V36" s="84">
        <f>IFERROR(VLOOKUP($F36,GDHI!$B$338:$U$574,GDHI!T$578,FALSE),VLOOKUP($F36,GDHI!$C$3:$U$336,GDHI!S$578,FALSE))</f>
        <v>21786</v>
      </c>
      <c r="W36" s="84">
        <f>IFERROR(VLOOKUP($F36,GDHI!$B$338:$U$574,GDHI!U$578,FALSE),VLOOKUP($F36,GDHI!$C$3:$U$336,GDHI!T$578,FALSE))</f>
        <v>23034</v>
      </c>
      <c r="X36" s="84">
        <f>IFERROR(VLOOKUP($F36,GDHI!$B$338:$U$574,GDHI!V$578,FALSE),VLOOKUP($F36,GDHI!$C$3:$U$336,GDHI!U$578,FALSE))</f>
        <v>23588</v>
      </c>
    </row>
    <row r="37" spans="1:24" ht="51" customHeight="1" x14ac:dyDescent="0.3">
      <c r="B37" s="56"/>
      <c r="C37" s="56"/>
      <c r="D37" s="56"/>
      <c r="F37" s="107" t="s">
        <v>1648</v>
      </c>
      <c r="G37" s="108"/>
      <c r="H37" s="109"/>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0" t="s">
        <v>1010</v>
      </c>
      <c r="G38" s="111"/>
      <c r="H38" s="112"/>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01" t="str">
        <f>"% Gap - "&amp;F36&amp;" to Rural as a Region"</f>
        <v>% Gap - Stroud to Rural as a Region</v>
      </c>
      <c r="G39" s="102"/>
      <c r="H39" s="103"/>
      <c r="I39" s="74">
        <f>100*((I36-I37)/I37)</f>
        <v>0.83959346000883794</v>
      </c>
      <c r="J39" s="74">
        <f t="shared" ref="J39:X39" si="6">100*((J36-J37)/J37)</f>
        <v>3.3410130202897319</v>
      </c>
      <c r="K39" s="74">
        <f t="shared" si="6"/>
        <v>3.7981326688750539</v>
      </c>
      <c r="L39" s="74">
        <f t="shared" si="6"/>
        <v>4.0186760765581111</v>
      </c>
      <c r="M39" s="74">
        <f t="shared" si="6"/>
        <v>4.3697756890805604</v>
      </c>
      <c r="N39" s="74">
        <f t="shared" si="6"/>
        <v>2.2326096908657131</v>
      </c>
      <c r="O39" s="74">
        <f t="shared" si="6"/>
        <v>3.0105428496632407</v>
      </c>
      <c r="P39" s="74">
        <f t="shared" si="6"/>
        <v>2.7862418773625581</v>
      </c>
      <c r="Q39" s="74">
        <f t="shared" si="6"/>
        <v>2.8510980869524722</v>
      </c>
      <c r="R39" s="74">
        <f t="shared" si="6"/>
        <v>4.2760520773477619</v>
      </c>
      <c r="S39" s="74">
        <f t="shared" si="6"/>
        <v>6.4289646816635972</v>
      </c>
      <c r="T39" s="74">
        <f t="shared" si="6"/>
        <v>5.4043579815443996</v>
      </c>
      <c r="U39" s="74">
        <f t="shared" si="6"/>
        <v>4.8926055647010127</v>
      </c>
      <c r="V39" s="74">
        <f t="shared" si="6"/>
        <v>3.9136313022364977</v>
      </c>
      <c r="W39" s="74">
        <f t="shared" si="6"/>
        <v>5.4579504861237451</v>
      </c>
      <c r="X39" s="74">
        <f t="shared" si="6"/>
        <v>5.9414384332537828</v>
      </c>
    </row>
    <row r="40" spans="1:24" ht="51" customHeight="1" x14ac:dyDescent="0.3">
      <c r="B40" s="56"/>
      <c r="C40" s="56"/>
      <c r="D40" s="56"/>
      <c r="F40" s="104" t="s">
        <v>1667</v>
      </c>
      <c r="G40" s="105"/>
      <c r="H40" s="106"/>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5" t="s">
        <v>1671</v>
      </c>
      <c r="G43" s="115"/>
      <c r="H43" s="116"/>
      <c r="I43" s="99">
        <v>2017</v>
      </c>
      <c r="J43" s="91">
        <v>2018</v>
      </c>
    </row>
    <row r="44" spans="1:24" ht="51" customHeight="1" thickTop="1" x14ac:dyDescent="0.3">
      <c r="B44" s="69" t="s">
        <v>1634</v>
      </c>
      <c r="C44" s="56"/>
      <c r="D44" s="56"/>
      <c r="F44" s="87" t="str">
        <f>B4</f>
        <v>Stroud</v>
      </c>
      <c r="G44" s="88"/>
      <c r="H44" s="89"/>
      <c r="I44" s="76">
        <f>VLOOKUP($F44,'LOW PAID'!$A$9:$N$444,6,FALSE)</f>
        <v>16.899999999999999</v>
      </c>
      <c r="J44" s="77">
        <f>VLOOKUP($F44,'LOW PAID'!$P$9:$W$444,6,FALSE)</f>
        <v>15.3</v>
      </c>
    </row>
    <row r="45" spans="1:24" ht="51" customHeight="1" x14ac:dyDescent="0.3">
      <c r="B45" s="56"/>
      <c r="C45" s="56"/>
      <c r="D45" s="56"/>
      <c r="F45" s="107" t="s">
        <v>1648</v>
      </c>
      <c r="G45" s="108"/>
      <c r="H45" s="109"/>
      <c r="I45" s="71">
        <f>VLOOKUP("Predominantly Rural",'LOW PAID'!$A$9:$N$444,6,FALSE)</f>
        <v>25.193874678213117</v>
      </c>
      <c r="J45" s="61">
        <f>VLOOKUP("Predominantly Rural",'LOW PAID'!$P$9:$W$444,6,FALSE)</f>
        <v>25.686116509030054</v>
      </c>
    </row>
    <row r="46" spans="1:24" ht="51" customHeight="1" thickBot="1" x14ac:dyDescent="0.35">
      <c r="B46" s="56"/>
      <c r="C46" s="56"/>
      <c r="D46" s="56"/>
      <c r="F46" s="110" t="s">
        <v>1010</v>
      </c>
      <c r="G46" s="111"/>
      <c r="H46" s="112"/>
      <c r="I46" s="78">
        <f>VLOOKUP($F46,'LOW PAID'!$A$9:$N$444,6,FALSE)</f>
        <v>22.2</v>
      </c>
      <c r="J46" s="79">
        <f>VLOOKUP($F46,'LOW PAID'!$P$9:$W$444,6,FALSE)</f>
        <v>22.9</v>
      </c>
    </row>
    <row r="47" spans="1:24" ht="51" customHeight="1" thickTop="1" x14ac:dyDescent="0.3">
      <c r="B47" s="56"/>
      <c r="C47" s="56"/>
      <c r="D47" s="56"/>
      <c r="F47" s="101" t="str">
        <f>"% Gap - "&amp;F44&amp;" to Rural as a Region"</f>
        <v>% Gap - Stroud to Rural as a Region</v>
      </c>
      <c r="G47" s="102"/>
      <c r="H47" s="103"/>
      <c r="I47" s="74">
        <f>(I44-I45)</f>
        <v>-8.2938746782131183</v>
      </c>
      <c r="J47" s="74">
        <f>(J44-J45)</f>
        <v>-10.386116509030053</v>
      </c>
    </row>
    <row r="48" spans="1:24" ht="51" customHeight="1" x14ac:dyDescent="0.3">
      <c r="B48" s="56"/>
      <c r="C48" s="56"/>
      <c r="D48" s="56"/>
      <c r="F48" s="104" t="s">
        <v>1667</v>
      </c>
      <c r="G48" s="105"/>
      <c r="H48" s="106"/>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20" t="s">
        <v>1665</v>
      </c>
      <c r="B51" s="66" t="s">
        <v>1462</v>
      </c>
      <c r="C51" s="55"/>
      <c r="D51" s="55"/>
      <c r="F51" s="113" t="s">
        <v>1672</v>
      </c>
      <c r="G51" s="113"/>
      <c r="H51" s="114"/>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20"/>
      <c r="B52" s="70" t="s">
        <v>1633</v>
      </c>
      <c r="C52" s="56"/>
      <c r="D52" s="56"/>
      <c r="F52" s="87" t="str">
        <f>B4</f>
        <v>Stroud</v>
      </c>
      <c r="G52" s="88"/>
      <c r="H52" s="89"/>
      <c r="I52" s="76">
        <f>VLOOKUP($F52,INACTIVITY!$A$6:$BW$345,6,FALSE)</f>
        <v>18.899999999999999</v>
      </c>
      <c r="J52" s="77">
        <f>VLOOKUP($F52,INACTIVITY!$A$6:$BW$345,10,FALSE)</f>
        <v>19.2</v>
      </c>
      <c r="K52" s="77">
        <f>VLOOKUP($F52,INACTIVITY!$A$6:$BW$345,14,FALSE)</f>
        <v>20</v>
      </c>
      <c r="L52" s="77">
        <f>VLOOKUP($F52,INACTIVITY!$A$6:$BW$345,18,FALSE)</f>
        <v>18.600000000000001</v>
      </c>
      <c r="M52" s="77">
        <f>VLOOKUP($F52,INACTIVITY!$A$6:$BW$345,22,FALSE)</f>
        <v>14.5</v>
      </c>
      <c r="N52" s="77">
        <f>VLOOKUP($F52,INACTIVITY!$A$6:$BW$345,26,FALSE)</f>
        <v>17.7</v>
      </c>
      <c r="O52" s="77">
        <f>VLOOKUP($F52,INACTIVITY!$A$6:$BW$345,30,FALSE)</f>
        <v>16.2</v>
      </c>
      <c r="P52" s="77">
        <f>VLOOKUP($F52,INACTIVITY!$A$6:$BW$345,34,FALSE)</f>
        <v>19.2</v>
      </c>
      <c r="Q52" s="77">
        <f>VLOOKUP($F52,INACTIVITY!$A$6:$BW$345,38,FALSE)</f>
        <v>16.100000000000001</v>
      </c>
      <c r="R52" s="77">
        <f>VLOOKUP($F52,INACTIVITY!$A$6:$BW$345,42,FALSE)</f>
        <v>13.5</v>
      </c>
      <c r="S52" s="77">
        <f>VLOOKUP($F52,INACTIVITY!$A$6:$BW$345,46,FALSE)</f>
        <v>16</v>
      </c>
      <c r="T52" s="77">
        <f>VLOOKUP($F52,INACTIVITY!$A$6:$BW$345,50,FALSE)</f>
        <v>13.7</v>
      </c>
      <c r="U52" s="77">
        <f>VLOOKUP($F52,INACTIVITY!$A$6:$BW$345,54,FALSE)</f>
        <v>8.5</v>
      </c>
      <c r="V52" s="77">
        <f>VLOOKUP($F52,INACTIVITY!$A$6:$BW$345,58,FALSE)</f>
        <v>18.2</v>
      </c>
      <c r="W52" s="77">
        <f>VLOOKUP($F52,INACTIVITY!$A$6:$BW$345,62,FALSE)</f>
        <v>11.2</v>
      </c>
      <c r="X52" s="77">
        <f>VLOOKUP($F52,INACTIVITY!$A$6:$BW$345,66,FALSE)</f>
        <v>15.1</v>
      </c>
      <c r="Y52" s="77">
        <f>VLOOKUP($F52,INACTIVITY!$A$6:$BW$345,70,FALSE)</f>
        <v>17.5</v>
      </c>
      <c r="Z52" s="77">
        <f>VLOOKUP($F52,INACTIVITY!$A$6:$BW$345,74,FALSE)</f>
        <v>21.3</v>
      </c>
    </row>
    <row r="53" spans="1:26" ht="51" customHeight="1" x14ac:dyDescent="0.3">
      <c r="B53" s="56"/>
      <c r="C53" s="56"/>
      <c r="D53" s="56"/>
      <c r="F53" s="107" t="s">
        <v>1648</v>
      </c>
      <c r="G53" s="108"/>
      <c r="H53" s="109"/>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0" t="s">
        <v>1010</v>
      </c>
      <c r="G54" s="111"/>
      <c r="H54" s="112"/>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01" t="str">
        <f>"% Gap - "&amp;F52&amp;" to Rural as a Region"</f>
        <v>% Gap - Stroud to Rural as a Region</v>
      </c>
      <c r="G55" s="102"/>
      <c r="H55" s="103"/>
      <c r="I55" s="74">
        <f>(I52-I53)</f>
        <v>-2.4956445716102387</v>
      </c>
      <c r="J55" s="74">
        <f t="shared" ref="J55:Z55" si="10">(J52-J53)</f>
        <v>-1.8085227272727273</v>
      </c>
      <c r="K55" s="74">
        <f t="shared" si="10"/>
        <v>-0.86246539345877693</v>
      </c>
      <c r="L55" s="74">
        <f t="shared" si="10"/>
        <v>-2.7140653315366379</v>
      </c>
      <c r="M55" s="74">
        <f t="shared" si="10"/>
        <v>-6.3350023108920048</v>
      </c>
      <c r="N55" s="74">
        <f t="shared" si="10"/>
        <v>-3.2331437579204412</v>
      </c>
      <c r="O55" s="74">
        <f t="shared" si="10"/>
        <v>-5.4919371275051745</v>
      </c>
      <c r="P55" s="74">
        <f t="shared" si="10"/>
        <v>-2.2942457807534495</v>
      </c>
      <c r="Q55" s="74">
        <f t="shared" si="10"/>
        <v>-5.0825487944890924</v>
      </c>
      <c r="R55" s="74">
        <f t="shared" si="10"/>
        <v>-7.2745930974387711</v>
      </c>
      <c r="S55" s="74">
        <f t="shared" si="10"/>
        <v>-4.2732104559724</v>
      </c>
      <c r="T55" s="74">
        <f t="shared" si="10"/>
        <v>-5.9961946834069586</v>
      </c>
      <c r="U55" s="74">
        <f t="shared" si="10"/>
        <v>-11.352429347069471</v>
      </c>
      <c r="V55" s="74">
        <f t="shared" si="10"/>
        <v>-1.0532773342803772</v>
      </c>
      <c r="W55" s="74">
        <f t="shared" si="10"/>
        <v>-7.9769560091828495</v>
      </c>
      <c r="X55" s="74">
        <f t="shared" si="10"/>
        <v>-3.7520649493649305</v>
      </c>
      <c r="Y55" s="74">
        <f t="shared" si="10"/>
        <v>-2.272582721871462</v>
      </c>
      <c r="Z55" s="74">
        <f t="shared" si="10"/>
        <v>0.2148202243699302</v>
      </c>
    </row>
    <row r="56" spans="1:26" ht="51" customHeight="1" x14ac:dyDescent="0.3">
      <c r="B56" s="56"/>
      <c r="C56" s="56"/>
      <c r="D56" s="56"/>
      <c r="F56" s="104" t="s">
        <v>1667</v>
      </c>
      <c r="G56" s="105"/>
      <c r="H56" s="106"/>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5" t="s">
        <v>1673</v>
      </c>
      <c r="G59" s="115"/>
      <c r="H59" s="116"/>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Stroud</v>
      </c>
      <c r="G60" s="88"/>
      <c r="H60" s="89"/>
      <c r="I60" s="76">
        <f>VLOOKUP($F60,DISABILITY!$A$718:$I$1052,DISABILITY!B$1053,FALSE)</f>
        <v>21.300000000000011</v>
      </c>
      <c r="J60" s="77">
        <f>VLOOKUP($F60,DISABILITY!$A$718:$I$1052,DISABILITY!C$1053,FALSE)</f>
        <v>21</v>
      </c>
      <c r="K60" s="77">
        <f>VLOOKUP($F60,DISABILITY!$A$718:$I$1052,DISABILITY!D$1053,FALSE)</f>
        <v>19.700000000000003</v>
      </c>
      <c r="L60" s="77">
        <f>VLOOKUP($F60,DISABILITY!$A$718:$I$1052,DISABILITY!E$1053,FALSE)</f>
        <v>15.799999999999997</v>
      </c>
      <c r="M60" s="77">
        <f>VLOOKUP($F60,DISABILITY!$A$718:$I$1052,DISABILITY!F$1053,FALSE)</f>
        <v>10.399999999999991</v>
      </c>
      <c r="N60" s="77">
        <f>VLOOKUP($F60,DISABILITY!$A$718:$I$1052,DISABILITY!G$1053,FALSE)</f>
        <v>15.5</v>
      </c>
      <c r="O60" s="77">
        <f>VLOOKUP($F60,DISABILITY!$A$718:$I$1052,DISABILITY!H$1053,FALSE)</f>
        <v>22.5</v>
      </c>
      <c r="P60" s="77">
        <f>VLOOKUP($F60,DISABILITY!$A$718:$I$1052,DISABILITY!I$1053,FALSE)</f>
        <v>29.6</v>
      </c>
    </row>
    <row r="61" spans="1:26" ht="51" customHeight="1" x14ac:dyDescent="0.3">
      <c r="B61" s="56"/>
      <c r="C61" s="56"/>
      <c r="D61" s="56"/>
      <c r="F61" s="107" t="s">
        <v>1648</v>
      </c>
      <c r="G61" s="108"/>
      <c r="H61" s="109"/>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0" t="s">
        <v>1010</v>
      </c>
      <c r="G62" s="111"/>
      <c r="H62" s="112"/>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01" t="str">
        <f>"% Gap - "&amp;F60&amp;" to Rural as a Region"</f>
        <v>% Gap - Stroud to Rural as a Region</v>
      </c>
      <c r="G63" s="102"/>
      <c r="H63" s="103"/>
      <c r="I63" s="74">
        <f>(I60-I61)</f>
        <v>-6.1201565406472369</v>
      </c>
      <c r="J63" s="74">
        <f t="shared" ref="J63:P63" si="12">(J60-J61)</f>
        <v>-6.3190444070511873</v>
      </c>
      <c r="K63" s="74">
        <f t="shared" si="12"/>
        <v>-8.4191283614982027</v>
      </c>
      <c r="L63" s="74">
        <f t="shared" si="12"/>
        <v>-10.190934538996679</v>
      </c>
      <c r="M63" s="74">
        <f t="shared" si="12"/>
        <v>-15.075225818666127</v>
      </c>
      <c r="N63" s="74">
        <f t="shared" si="12"/>
        <v>-10.031247685441983</v>
      </c>
      <c r="O63" s="74">
        <f t="shared" si="12"/>
        <v>-1.2972222879969451</v>
      </c>
      <c r="P63" s="74">
        <f t="shared" si="12"/>
        <v>4.2458220696578266</v>
      </c>
    </row>
    <row r="64" spans="1:26" ht="51" customHeight="1" x14ac:dyDescent="0.3">
      <c r="B64" s="56"/>
      <c r="C64" s="56"/>
      <c r="D64" s="56"/>
      <c r="F64" s="104" t="s">
        <v>1667</v>
      </c>
      <c r="G64" s="105"/>
      <c r="H64" s="106"/>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13" t="s">
        <v>1674</v>
      </c>
      <c r="G67" s="113"/>
      <c r="H67" s="114"/>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Stroud</v>
      </c>
      <c r="G68" s="88"/>
      <c r="H68" s="89"/>
      <c r="I68" s="76">
        <f>VLOOKUP($F68,'WORKLESS HOUSEHOLDS'!$DW$4:$EC$397,7,FALSE)</f>
        <v>6.9189052502761541</v>
      </c>
      <c r="J68" s="77" t="str">
        <f>VLOOKUP($F68,'WORKLESS HOUSEHOLDS'!$DN$4:$DT$397,7,FALSE)</f>
        <v>*</v>
      </c>
      <c r="K68" s="77">
        <f>VLOOKUP($F68,'WORKLESS HOUSEHOLDS'!$DE$4:$DK$397,7,FALSE)</f>
        <v>9.0985850018736976</v>
      </c>
      <c r="L68" s="77">
        <f>VLOOKUP($F68,'WORKLESS HOUSEHOLDS'!$CV$4:$DB$397,7,FALSE)</f>
        <v>17.822199511724296</v>
      </c>
      <c r="M68" s="77">
        <f>VLOOKUP($F68,'WORKLESS HOUSEHOLDS'!$CM$4:$CS$397,7,FALSE)</f>
        <v>9.0019186054770124</v>
      </c>
      <c r="N68" s="77">
        <f>VLOOKUP($F68,'WORKLESS HOUSEHOLDS'!$CD$4:$CJ$397,7,FALSE)</f>
        <v>3.4286328460877042</v>
      </c>
      <c r="O68" s="77" t="str">
        <f>VLOOKUP($F68,'WORKLESS HOUSEHOLDS'!$BU$4:$CA$397,7,FALSE)</f>
        <v>#</v>
      </c>
      <c r="P68" s="77">
        <f>VLOOKUP($F68,'WORKLESS HOUSEHOLDS'!$BL$4:$BR$397,7,FALSE)</f>
        <v>6.2093642274294192</v>
      </c>
      <c r="Q68" s="77" t="str">
        <f>VLOOKUP($F68,'WORKLESS HOUSEHOLDS'!$BC$4:$BI$397,7,FALSE)</f>
        <v>#</v>
      </c>
      <c r="R68" s="77">
        <f>VLOOKUP($F68,'WORKLESS HOUSEHOLDS'!$AT$4:$AZ$397,7,FALSE)</f>
        <v>6.0827537427796772</v>
      </c>
      <c r="S68" s="77">
        <f>VLOOKUP($F68,'WORKLESS HOUSEHOLDS'!$AK$4:$AQ$397,7,FALSE)</f>
        <v>5.191333708497468</v>
      </c>
      <c r="T68" s="77">
        <f>VLOOKUP($F68,'WORKLESS HOUSEHOLDS'!$AB$4:$AH$397,7,FALSE)</f>
        <v>11.581642702383297</v>
      </c>
      <c r="U68" s="77">
        <f>VLOOKUP($F68,'WORKLESS HOUSEHOLDS'!$S$4:$Y$397,7,FALSE)</f>
        <v>15.609300151886904</v>
      </c>
      <c r="V68" s="77" t="str">
        <f>VLOOKUP($F68,'WORKLESS HOUSEHOLDS'!$J$4:$P$397,7,FALSE)</f>
        <v>#</v>
      </c>
      <c r="W68" s="77">
        <f>VLOOKUP($F68,'WORKLESS HOUSEHOLDS'!$B$4:$H$397,7,FALSE)</f>
        <v>4.2223941638112077</v>
      </c>
    </row>
    <row r="69" spans="1:26" ht="51" customHeight="1" x14ac:dyDescent="0.3">
      <c r="B69" s="56"/>
      <c r="C69" s="56"/>
      <c r="D69" s="56"/>
      <c r="F69" s="122" t="s">
        <v>1648</v>
      </c>
      <c r="G69" s="123"/>
      <c r="H69" s="124"/>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0" t="s">
        <v>1010</v>
      </c>
      <c r="G70" s="111"/>
      <c r="H70" s="112"/>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01" t="str">
        <f>"% Gap - "&amp;F68&amp;" to Rural as a Region"</f>
        <v>% Gap - Stroud to Rural as a Region</v>
      </c>
      <c r="G71" s="102"/>
      <c r="H71" s="103"/>
      <c r="I71" s="74">
        <f>(I68-I69)</f>
        <v>-3.0930406123105367</v>
      </c>
      <c r="J71" s="74" t="e">
        <f t="shared" ref="J71:W71" si="14">(J68-J69)</f>
        <v>#VALUE!</v>
      </c>
      <c r="K71" s="74">
        <f t="shared" si="14"/>
        <v>-1.1946607272821463</v>
      </c>
      <c r="L71" s="74">
        <f t="shared" si="14"/>
        <v>6.8561928503945637</v>
      </c>
      <c r="M71" s="74">
        <f t="shared" si="14"/>
        <v>-2.6918605757114609</v>
      </c>
      <c r="N71" s="74">
        <f t="shared" si="14"/>
        <v>-8.472466833167676</v>
      </c>
      <c r="O71" s="74" t="e">
        <f t="shared" si="14"/>
        <v>#VALUE!</v>
      </c>
      <c r="P71" s="74">
        <f t="shared" si="14"/>
        <v>-3.4821336583384186</v>
      </c>
      <c r="Q71" s="74" t="e">
        <f t="shared" si="14"/>
        <v>#VALUE!</v>
      </c>
      <c r="R71" s="74">
        <f t="shared" si="14"/>
        <v>-4.6233425809498767</v>
      </c>
      <c r="S71" s="74">
        <f t="shared" si="14"/>
        <v>-4.9614111196514132</v>
      </c>
      <c r="T71" s="74">
        <f t="shared" si="14"/>
        <v>1.6779745077505464</v>
      </c>
      <c r="U71" s="74">
        <f t="shared" si="14"/>
        <v>4.8472499872074284</v>
      </c>
      <c r="V71" s="74" t="e">
        <f t="shared" si="14"/>
        <v>#VALUE!</v>
      </c>
      <c r="W71" s="74">
        <f t="shared" si="14"/>
        <v>-6.1303072593729855</v>
      </c>
    </row>
    <row r="72" spans="1:26" ht="51" customHeight="1" x14ac:dyDescent="0.3">
      <c r="B72" s="56"/>
      <c r="C72" s="56"/>
      <c r="D72" s="56"/>
      <c r="F72" s="104" t="s">
        <v>1667</v>
      </c>
      <c r="G72" s="105"/>
      <c r="H72" s="106"/>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20" t="s">
        <v>6</v>
      </c>
      <c r="B75" s="66" t="s">
        <v>1462</v>
      </c>
      <c r="C75" s="55"/>
      <c r="D75" s="55"/>
      <c r="F75" s="125" t="s">
        <v>1675</v>
      </c>
      <c r="G75" s="125"/>
      <c r="H75" s="126"/>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20"/>
      <c r="B76" s="67" t="s">
        <v>1633</v>
      </c>
      <c r="C76" s="56"/>
      <c r="D76" s="56"/>
      <c r="F76" s="87" t="str">
        <f>B4</f>
        <v>Stroud</v>
      </c>
      <c r="G76" s="88"/>
      <c r="H76" s="89"/>
      <c r="I76" s="76">
        <f>VLOOKUP($F76,'SKILLED EMPLOYMENT'!$A$1506:$BW$1841,6,FALSE)</f>
        <v>56.9</v>
      </c>
      <c r="J76" s="77">
        <f>VLOOKUP($F76,'SKILLED EMPLOYMENT'!$A$1506:$BW$1841,10,FALSE)</f>
        <v>55.999999999999993</v>
      </c>
      <c r="K76" s="77">
        <f>VLOOKUP($F76,'SKILLED EMPLOYMENT'!$A$1506:$BW$1841,14,FALSE)</f>
        <v>60.2</v>
      </c>
      <c r="L76" s="77">
        <f>VLOOKUP($F76,'SKILLED EMPLOYMENT'!$A$1506:$BW$1841,18,FALSE)</f>
        <v>63.7</v>
      </c>
      <c r="M76" s="77">
        <f>VLOOKUP($F76,'SKILLED EMPLOYMENT'!$A$1506:$BW$1841,22,FALSE)</f>
        <v>61.5</v>
      </c>
      <c r="N76" s="77">
        <f>VLOOKUP($F76,'SKILLED EMPLOYMENT'!$A$1506:$BW$1841,26,FALSE)</f>
        <v>65.400000000000006</v>
      </c>
      <c r="O76" s="77">
        <f>VLOOKUP($F76,'SKILLED EMPLOYMENT'!$A$1506:$BW$1841,30,FALSE)</f>
        <v>61.7</v>
      </c>
      <c r="P76" s="77">
        <f>VLOOKUP($F76,'SKILLED EMPLOYMENT'!$A$1506:$BW$1841,34,FALSE)</f>
        <v>63.8</v>
      </c>
      <c r="Q76" s="77">
        <f>VLOOKUP($F76,'SKILLED EMPLOYMENT'!$A$1506:$BW$1841,38,FALSE)</f>
        <v>63.5</v>
      </c>
      <c r="R76" s="77">
        <f>VLOOKUP($F76,'SKILLED EMPLOYMENT'!$A$1506:$BW$1841,42,FALSE)</f>
        <v>57.099999999999994</v>
      </c>
      <c r="S76" s="77">
        <f>VLOOKUP($F76,'SKILLED EMPLOYMENT'!$A$1506:$BW$1841,46,FALSE)</f>
        <v>66.8</v>
      </c>
      <c r="T76" s="77">
        <f>VLOOKUP($F76,'SKILLED EMPLOYMENT'!$A$1506:$BW$1841,50,FALSE)</f>
        <v>55.8</v>
      </c>
      <c r="U76" s="77">
        <f>VLOOKUP($F76,'SKILLED EMPLOYMENT'!$A$1506:$BW$1841,54,FALSE)</f>
        <v>62.6</v>
      </c>
      <c r="V76" s="77">
        <f>VLOOKUP($F76,'SKILLED EMPLOYMENT'!$A$1506:$BW$1841,58,FALSE)</f>
        <v>55.1</v>
      </c>
      <c r="W76" s="77">
        <f>VLOOKUP($F76,'SKILLED EMPLOYMENT'!$A$1506:$BW$1841,62,FALSE)</f>
        <v>50.5</v>
      </c>
      <c r="X76" s="77">
        <f>VLOOKUP($F76,'SKILLED EMPLOYMENT'!$A$1506:$BW$1841,66,FALSE)</f>
        <v>60.9</v>
      </c>
      <c r="Y76" s="77">
        <f>VLOOKUP($F76,'SKILLED EMPLOYMENT'!$A$1506:$BW$1841,70,FALSE)</f>
        <v>58.2</v>
      </c>
      <c r="Z76" s="77">
        <f>VLOOKUP($F76,'SKILLED EMPLOYMENT'!$A$1506:$BW$1841,74,FALSE)</f>
        <v>62.2</v>
      </c>
    </row>
    <row r="77" spans="1:26" ht="51" customHeight="1" x14ac:dyDescent="0.3">
      <c r="F77" s="107" t="s">
        <v>1648</v>
      </c>
      <c r="G77" s="108"/>
      <c r="H77" s="109"/>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0" t="s">
        <v>1010</v>
      </c>
      <c r="G78" s="111"/>
      <c r="H78" s="112"/>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01" t="str">
        <f>"% Gap - "&amp;F76&amp;" to Rural as a Region"</f>
        <v>% Gap - Stroud to Rural as a Region</v>
      </c>
      <c r="G79" s="102"/>
      <c r="H79" s="103"/>
      <c r="I79" s="74">
        <f>(I76-I77)</f>
        <v>4.1999999999999957</v>
      </c>
      <c r="J79" s="74">
        <f t="shared" ref="J79:Z79" si="17">(J76-J77)</f>
        <v>3.0999999999999943</v>
      </c>
      <c r="K79" s="74">
        <f t="shared" si="17"/>
        <v>6.7000000000000028</v>
      </c>
      <c r="L79" s="74">
        <f t="shared" si="17"/>
        <v>9.7000000000000028</v>
      </c>
      <c r="M79" s="74">
        <f t="shared" si="17"/>
        <v>7.3999999999999986</v>
      </c>
      <c r="N79" s="74">
        <f t="shared" si="17"/>
        <v>11.000000000000007</v>
      </c>
      <c r="O79" s="74">
        <f t="shared" si="17"/>
        <v>6.3000000000000043</v>
      </c>
      <c r="P79" s="74">
        <f t="shared" si="17"/>
        <v>8.1999999999999957</v>
      </c>
      <c r="Q79" s="74">
        <f t="shared" si="17"/>
        <v>8.1000000000000014</v>
      </c>
      <c r="R79" s="74">
        <f t="shared" si="17"/>
        <v>0.89999999999999147</v>
      </c>
      <c r="S79" s="74">
        <f t="shared" si="17"/>
        <v>10.599999999999994</v>
      </c>
      <c r="T79" s="74">
        <f t="shared" si="17"/>
        <v>-1</v>
      </c>
      <c r="U79" s="74">
        <f t="shared" si="17"/>
        <v>6</v>
      </c>
      <c r="V79" s="74">
        <f t="shared" si="17"/>
        <v>-2</v>
      </c>
      <c r="W79" s="74">
        <f t="shared" si="17"/>
        <v>-7.2999999999999972</v>
      </c>
      <c r="X79" s="74">
        <f t="shared" si="17"/>
        <v>2.1000000000000014</v>
      </c>
      <c r="Y79" s="74">
        <f t="shared" si="17"/>
        <v>-0.5</v>
      </c>
      <c r="Z79" s="74">
        <f t="shared" si="17"/>
        <v>3.8000000000000043</v>
      </c>
    </row>
    <row r="80" spans="1:26" ht="51" customHeight="1" x14ac:dyDescent="0.3">
      <c r="F80" s="104" t="s">
        <v>1667</v>
      </c>
      <c r="G80" s="105"/>
      <c r="H80" s="106"/>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RZjT0kSSRftav2g/UrH0un+k5KIWLkE648TVAaB249/ktt3BMa85108j2Og99w1fR0SI+EAgY9ezdBuU7reQmg==" saltValue="CBKqOvX+SvwJGX/wUVvuYA==" spinCount="100000" sheet="1" objects="1" scenarios="1"/>
  <mergeCells count="49">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 ref="F22:H22"/>
    <mergeCell ref="F27:H27"/>
    <mergeCell ref="F29:H29"/>
    <mergeCell ref="F30:H30"/>
    <mergeCell ref="F11:H11"/>
    <mergeCell ref="F13:H13"/>
    <mergeCell ref="F14:H14"/>
    <mergeCell ref="F15:H15"/>
    <mergeCell ref="F16:H16"/>
    <mergeCell ref="F23:H23"/>
    <mergeCell ref="F24:H24"/>
    <mergeCell ref="F21:H21"/>
    <mergeCell ref="F31:H31"/>
    <mergeCell ref="F32:H32"/>
    <mergeCell ref="F39:H39"/>
    <mergeCell ref="F40:H40"/>
    <mergeCell ref="F47:H47"/>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28" t="s">
        <v>1044</v>
      </c>
      <c r="F3" s="129"/>
      <c r="P3" s="8"/>
      <c r="Q3" s="8"/>
      <c r="R3" s="8"/>
      <c r="S3" s="9"/>
      <c r="T3" s="128" t="s">
        <v>1044</v>
      </c>
      <c r="U3" s="129"/>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31" t="s">
        <v>1052</v>
      </c>
      <c r="J7" s="131"/>
      <c r="K7" s="131"/>
      <c r="L7" s="131"/>
      <c r="M7" s="131"/>
      <c r="N7" s="132"/>
      <c r="P7" s="16" t="s">
        <v>1009</v>
      </c>
      <c r="Q7" s="16"/>
      <c r="R7" s="16"/>
      <c r="S7" s="17" t="s">
        <v>483</v>
      </c>
      <c r="T7" s="18">
        <v>6058</v>
      </c>
      <c r="U7" s="19">
        <v>22.7</v>
      </c>
      <c r="W7" s="20" t="s">
        <v>1051</v>
      </c>
      <c r="X7" s="131" t="s">
        <v>1052</v>
      </c>
      <c r="Y7" s="131"/>
      <c r="Z7" s="131"/>
      <c r="AA7" s="131"/>
      <c r="AB7" s="131"/>
      <c r="AC7" s="132"/>
    </row>
    <row r="8" spans="1:29" x14ac:dyDescent="0.3">
      <c r="A8" s="16" t="s">
        <v>1053</v>
      </c>
      <c r="B8" s="16"/>
      <c r="C8" s="16"/>
      <c r="D8" s="17" t="s">
        <v>1054</v>
      </c>
      <c r="E8" s="18">
        <v>5351</v>
      </c>
      <c r="F8" s="19">
        <v>22.3</v>
      </c>
      <c r="H8" s="21" t="s">
        <v>1110</v>
      </c>
      <c r="I8" s="133" t="s">
        <v>1055</v>
      </c>
      <c r="J8" s="133"/>
      <c r="K8" s="133"/>
      <c r="L8" s="133"/>
      <c r="M8" s="133"/>
      <c r="N8" s="134"/>
      <c r="P8" s="16" t="s">
        <v>1053</v>
      </c>
      <c r="Q8" s="16"/>
      <c r="R8" s="16"/>
      <c r="S8" s="17" t="s">
        <v>1054</v>
      </c>
      <c r="T8" s="18">
        <v>5588</v>
      </c>
      <c r="U8" s="19">
        <v>23</v>
      </c>
      <c r="W8" s="21" t="s">
        <v>1110</v>
      </c>
      <c r="X8" s="133" t="s">
        <v>1055</v>
      </c>
      <c r="Y8" s="133"/>
      <c r="Z8" s="133"/>
      <c r="AA8" s="133"/>
      <c r="AB8" s="133"/>
      <c r="AC8" s="134"/>
    </row>
    <row r="9" spans="1:29" x14ac:dyDescent="0.3">
      <c r="A9" s="16" t="s">
        <v>1010</v>
      </c>
      <c r="B9" s="16"/>
      <c r="C9" s="16"/>
      <c r="D9" s="17" t="s">
        <v>485</v>
      </c>
      <c r="E9" s="22">
        <v>5062</v>
      </c>
      <c r="F9" s="23">
        <v>22.2</v>
      </c>
      <c r="H9" s="24" t="s">
        <v>1056</v>
      </c>
      <c r="I9" s="135" t="s">
        <v>1057</v>
      </c>
      <c r="J9" s="135"/>
      <c r="K9" s="135"/>
      <c r="L9" s="135"/>
      <c r="M9" s="135"/>
      <c r="N9" s="136"/>
      <c r="P9" s="16" t="s">
        <v>1010</v>
      </c>
      <c r="Q9" s="16"/>
      <c r="R9" s="16"/>
      <c r="S9" s="17" t="s">
        <v>485</v>
      </c>
      <c r="T9" s="22">
        <v>5284</v>
      </c>
      <c r="U9" s="23">
        <v>22.9</v>
      </c>
      <c r="W9" s="24" t="s">
        <v>1056</v>
      </c>
      <c r="X9" s="135" t="s">
        <v>1057</v>
      </c>
      <c r="Y9" s="135"/>
      <c r="Z9" s="135"/>
      <c r="AA9" s="135"/>
      <c r="AB9" s="135"/>
      <c r="AC9" s="136"/>
    </row>
    <row r="10" spans="1:29" x14ac:dyDescent="0.3">
      <c r="A10" s="16" t="s">
        <v>1058</v>
      </c>
      <c r="B10" s="16"/>
      <c r="C10" s="16"/>
      <c r="D10" s="17" t="s">
        <v>487</v>
      </c>
      <c r="E10" s="22">
        <v>249</v>
      </c>
      <c r="F10" s="23">
        <v>24.3</v>
      </c>
      <c r="H10" s="25" t="s">
        <v>1059</v>
      </c>
      <c r="I10" s="137" t="s">
        <v>1060</v>
      </c>
      <c r="J10" s="137"/>
      <c r="K10" s="137"/>
      <c r="L10" s="137"/>
      <c r="M10" s="137"/>
      <c r="N10" s="138"/>
      <c r="P10" s="16" t="s">
        <v>1058</v>
      </c>
      <c r="Q10" s="16"/>
      <c r="R10" s="16"/>
      <c r="S10" s="17" t="s">
        <v>487</v>
      </c>
      <c r="T10" s="22">
        <v>261</v>
      </c>
      <c r="U10" s="23">
        <v>25.3</v>
      </c>
      <c r="W10" s="25" t="s">
        <v>1059</v>
      </c>
      <c r="X10" s="137" t="s">
        <v>1060</v>
      </c>
      <c r="Y10" s="137"/>
      <c r="Z10" s="137"/>
      <c r="AA10" s="137"/>
      <c r="AB10" s="137"/>
      <c r="AC10" s="138"/>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7" t="s">
        <v>1062</v>
      </c>
      <c r="J11" s="137"/>
      <c r="K11" s="137"/>
      <c r="L11" s="137"/>
      <c r="M11" s="137"/>
      <c r="N11" s="138"/>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7" t="s">
        <v>1062</v>
      </c>
      <c r="Y11" s="137"/>
      <c r="Z11" s="137"/>
      <c r="AA11" s="137"/>
      <c r="AB11" s="137"/>
      <c r="AC11" s="138"/>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30"/>
      <c r="F438" s="130"/>
      <c r="G438" s="130"/>
      <c r="H438" s="130"/>
      <c r="I438" s="130"/>
      <c r="J438" s="130"/>
      <c r="K438" s="130"/>
      <c r="L438" s="130"/>
      <c r="M438" s="130"/>
      <c r="N438" s="130"/>
      <c r="P438" s="139" t="s">
        <v>1627</v>
      </c>
      <c r="Q438" s="139"/>
      <c r="R438" s="139"/>
      <c r="S438" s="139"/>
      <c r="T438" s="130"/>
      <c r="U438" s="130"/>
      <c r="V438" s="130"/>
      <c r="W438" s="130"/>
      <c r="X438" s="130"/>
      <c r="Y438" s="130"/>
      <c r="Z438" s="130"/>
      <c r="AA438" s="130"/>
      <c r="AB438" s="130"/>
      <c r="AC438" s="130"/>
    </row>
    <row r="439" spans="1:29" x14ac:dyDescent="0.3">
      <c r="A439" s="130" t="s">
        <v>1628</v>
      </c>
      <c r="B439" s="130"/>
      <c r="C439" s="130"/>
      <c r="D439" s="130"/>
      <c r="E439" s="130"/>
      <c r="F439" s="130"/>
      <c r="G439" s="130"/>
      <c r="H439" s="130"/>
      <c r="I439" s="130"/>
      <c r="J439" s="130"/>
      <c r="K439" s="130"/>
      <c r="L439" s="130"/>
      <c r="M439" s="130"/>
      <c r="N439" s="130"/>
      <c r="P439" s="130" t="s">
        <v>1628</v>
      </c>
      <c r="Q439" s="130"/>
      <c r="R439" s="130"/>
      <c r="S439" s="130"/>
      <c r="T439" s="130"/>
      <c r="U439" s="130"/>
      <c r="V439" s="130"/>
      <c r="W439" s="130"/>
      <c r="X439" s="130"/>
      <c r="Y439" s="130"/>
      <c r="Z439" s="130"/>
      <c r="AA439" s="130"/>
      <c r="AB439" s="130"/>
      <c r="AC439" s="130"/>
    </row>
    <row r="440" spans="1:29" x14ac:dyDescent="0.3">
      <c r="A440" s="130" t="s">
        <v>1629</v>
      </c>
      <c r="B440" s="130"/>
      <c r="C440" s="130"/>
      <c r="D440" s="130"/>
      <c r="E440" s="130"/>
      <c r="F440" s="130"/>
      <c r="G440" s="130"/>
      <c r="H440" s="130"/>
      <c r="I440" s="130"/>
      <c r="J440" s="130"/>
      <c r="K440" s="130"/>
      <c r="L440" s="130"/>
      <c r="M440" s="130"/>
      <c r="N440" s="130"/>
      <c r="P440" s="130" t="s">
        <v>1629</v>
      </c>
      <c r="Q440" s="130"/>
      <c r="R440" s="130"/>
      <c r="S440" s="130"/>
      <c r="T440" s="130"/>
      <c r="U440" s="130"/>
      <c r="V440" s="130"/>
      <c r="W440" s="130"/>
      <c r="X440" s="130"/>
      <c r="Y440" s="130"/>
      <c r="Z440" s="130"/>
      <c r="AA440" s="130"/>
      <c r="AB440" s="130"/>
      <c r="AC440" s="130"/>
    </row>
    <row r="441" spans="1:29" x14ac:dyDescent="0.3">
      <c r="A441" s="130" t="s">
        <v>1107</v>
      </c>
      <c r="B441" s="130"/>
      <c r="C441" s="130"/>
      <c r="D441" s="130"/>
      <c r="E441" s="130"/>
      <c r="F441" s="130"/>
      <c r="G441" s="130"/>
      <c r="H441" s="130"/>
      <c r="I441" s="130"/>
      <c r="J441" s="130"/>
      <c r="K441" s="130"/>
      <c r="L441" s="130"/>
      <c r="M441" s="130"/>
      <c r="N441" s="130"/>
      <c r="P441" s="130" t="s">
        <v>1107</v>
      </c>
      <c r="Q441" s="130"/>
      <c r="R441" s="130"/>
      <c r="S441" s="130"/>
      <c r="T441" s="130"/>
      <c r="U441" s="130"/>
      <c r="V441" s="130"/>
      <c r="W441" s="130"/>
      <c r="X441" s="130"/>
      <c r="Y441" s="130"/>
      <c r="Z441" s="130"/>
      <c r="AA441" s="130"/>
      <c r="AB441" s="130"/>
      <c r="AC441" s="130"/>
    </row>
    <row r="442" spans="1:29" x14ac:dyDescent="0.3">
      <c r="A442" s="127" t="s">
        <v>1108</v>
      </c>
      <c r="B442" s="127"/>
      <c r="C442" s="127"/>
      <c r="D442" s="127"/>
      <c r="E442" s="127"/>
      <c r="F442" s="127"/>
      <c r="G442" s="127"/>
      <c r="H442" s="127"/>
      <c r="I442" s="127"/>
      <c r="J442" s="127"/>
      <c r="K442" s="127"/>
      <c r="L442" s="127"/>
      <c r="M442" s="127"/>
      <c r="N442" s="127"/>
      <c r="P442" s="127" t="s">
        <v>1108</v>
      </c>
      <c r="Q442" s="127"/>
      <c r="R442" s="127"/>
      <c r="S442" s="127"/>
      <c r="T442" s="127"/>
      <c r="U442" s="127"/>
      <c r="V442" s="127"/>
      <c r="W442" s="127"/>
      <c r="X442" s="127"/>
      <c r="Y442" s="127"/>
      <c r="Z442" s="127"/>
      <c r="AA442" s="127"/>
      <c r="AB442" s="127"/>
      <c r="AC442" s="127"/>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1:N441"/>
    <mergeCell ref="X7:AC7"/>
    <mergeCell ref="X8:AC8"/>
    <mergeCell ref="X9:AC9"/>
    <mergeCell ref="X10:AC10"/>
    <mergeCell ref="X11:AC11"/>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2022-06-29T15:19:14Z</cp:lastPrinted>
  <dcterms:created xsi:type="dcterms:W3CDTF">2022-05-30T09:14:22Z</dcterms:created>
  <dcterms:modified xsi:type="dcterms:W3CDTF">2022-08-02T13:24:29Z</dcterms:modified>
</cp:coreProperties>
</file>