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2" documentId="8_{27AC7244-C1CE-44DD-A215-3BFFB9F4B29D}" xr6:coauthVersionLast="47" xr6:coauthVersionMax="47" xr10:uidLastSave="{6390AB98-1A4F-4196-B210-AE3C122E6496}"/>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<sst xmlns="http://schemas.openxmlformats.org/spreadsheetml/2006/main" count="32859" uniqueCount="1676">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</sst>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Teignbridge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20.59</c:v>
                </c:pt>
                <c:pt idx="1">
                  <c:v>20.51</c:v>
                </c:pt>
                <c:pt idx="2">
                  <c:v>21.45</c:v>
                </c:pt>
                <c:pt idx="3">
                  <c:v>21.63</c:v>
                </c:pt>
                <c:pt idx="4">
                  <c:v>21.83</c:v>
                </c:pt>
                <c:pt idx="5">
                  <c:v>21.85</c:v>
                </c:pt>
                <c:pt idx="6">
                  <c:v>22.19</c:v>
                </c:pt>
                <c:pt idx="7">
                  <c:v>22.07</c:v>
                </c:pt>
                <c:pt idx="8">
                  <c:v>22.44</c:v>
                </c:pt>
                <c:pt idx="9">
                  <c:v>23.25</c:v>
                </c:pt>
                <c:pt idx="10">
                  <c:v>24.84</c:v>
                </c:pt>
                <c:pt idx="11">
                  <c:v>26.1</c:v>
                </c:pt>
                <c:pt idx="12">
                  <c:v>27.09</c:v>
                </c:pt>
                <c:pt idx="13">
                  <c:v>27.86</c:v>
                </c:pt>
                <c:pt idx="14">
                  <c:v>28.57</c:v>
                </c:pt>
                <c:pt idx="15">
                  <c:v>28.96</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Teignbridge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403.1</c:v>
                </c:pt>
                <c:pt idx="1">
                  <c:v>419.7</c:v>
                </c:pt>
                <c:pt idx="2">
                  <c:v>416.7</c:v>
                </c:pt>
                <c:pt idx="3">
                  <c:v>421.5</c:v>
                </c:pt>
                <c:pt idx="4">
                  <c:v>403.5</c:v>
                </c:pt>
                <c:pt idx="5">
                  <c:v>420.3</c:v>
                </c:pt>
                <c:pt idx="6">
                  <c:v>443.1</c:v>
                </c:pt>
                <c:pt idx="7">
                  <c:v>394</c:v>
                </c:pt>
                <c:pt idx="8">
                  <c:v>430.9</c:v>
                </c:pt>
                <c:pt idx="9">
                  <c:v>431.6</c:v>
                </c:pt>
                <c:pt idx="10">
                  <c:v>459.9</c:v>
                </c:pt>
                <c:pt idx="11">
                  <c:v>467.3</c:v>
                </c:pt>
                <c:pt idx="12">
                  <c:v>476.8</c:v>
                </c:pt>
                <c:pt idx="13">
                  <c:v>522.6</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Teignbridge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78.400000000000006</c:v>
                </c:pt>
                <c:pt idx="1">
                  <c:v>79.5</c:v>
                </c:pt>
                <c:pt idx="2">
                  <c:v>80.5</c:v>
                </c:pt>
                <c:pt idx="3">
                  <c:v>78.8</c:v>
                </c:pt>
                <c:pt idx="4">
                  <c:v>83.7</c:v>
                </c:pt>
                <c:pt idx="5">
                  <c:v>75.7</c:v>
                </c:pt>
                <c:pt idx="6">
                  <c:v>73.7</c:v>
                </c:pt>
                <c:pt idx="7">
                  <c:v>70.099999999999994</c:v>
                </c:pt>
                <c:pt idx="8">
                  <c:v>75.099999999999994</c:v>
                </c:pt>
                <c:pt idx="9">
                  <c:v>78.599999999999994</c:v>
                </c:pt>
                <c:pt idx="10">
                  <c:v>80.7</c:v>
                </c:pt>
                <c:pt idx="11">
                  <c:v>81.7</c:v>
                </c:pt>
                <c:pt idx="12">
                  <c:v>76.599999999999994</c:v>
                </c:pt>
                <c:pt idx="13">
                  <c:v>81.8</c:v>
                </c:pt>
                <c:pt idx="14">
                  <c:v>80.8</c:v>
                </c:pt>
                <c:pt idx="15">
                  <c:v>78.7</c:v>
                </c:pt>
                <c:pt idx="16">
                  <c:v>78</c:v>
                </c:pt>
                <c:pt idx="17">
                  <c:v>72.400000000000006</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Teignbridge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13153</c:v>
                </c:pt>
                <c:pt idx="1">
                  <c:v>13825</c:v>
                </c:pt>
                <c:pt idx="2">
                  <c:v>14597</c:v>
                </c:pt>
                <c:pt idx="3">
                  <c:v>15129</c:v>
                </c:pt>
                <c:pt idx="4">
                  <c:v>15765</c:v>
                </c:pt>
                <c:pt idx="5">
                  <c:v>16290</c:v>
                </c:pt>
                <c:pt idx="6">
                  <c:v>16471</c:v>
                </c:pt>
                <c:pt idx="7">
                  <c:v>16675</c:v>
                </c:pt>
                <c:pt idx="8">
                  <c:v>17270</c:v>
                </c:pt>
                <c:pt idx="9">
                  <c:v>17846</c:v>
                </c:pt>
                <c:pt idx="10">
                  <c:v>18206</c:v>
                </c:pt>
                <c:pt idx="11">
                  <c:v>18959</c:v>
                </c:pt>
                <c:pt idx="12">
                  <c:v>19244</c:v>
                </c:pt>
                <c:pt idx="13">
                  <c:v>19484</c:v>
                </c:pt>
                <c:pt idx="14">
                  <c:v>20499</c:v>
                </c:pt>
                <c:pt idx="15">
                  <c:v>21009</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Teignbridge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27.7</c:v>
                </c:pt>
                <c:pt idx="1">
                  <c:v>29.3</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Teignbridge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18.899999999999999</c:v>
                </c:pt>
                <c:pt idx="1">
                  <c:v>18.8</c:v>
                </c:pt>
                <c:pt idx="2">
                  <c:v>17.899999999999999</c:v>
                </c:pt>
                <c:pt idx="3">
                  <c:v>19.3</c:v>
                </c:pt>
                <c:pt idx="4">
                  <c:v>14.8</c:v>
                </c:pt>
                <c:pt idx="5">
                  <c:v>18.8</c:v>
                </c:pt>
                <c:pt idx="6">
                  <c:v>22.9</c:v>
                </c:pt>
                <c:pt idx="7">
                  <c:v>24.1</c:v>
                </c:pt>
                <c:pt idx="8">
                  <c:v>20.6</c:v>
                </c:pt>
                <c:pt idx="9">
                  <c:v>16.600000000000001</c:v>
                </c:pt>
                <c:pt idx="10">
                  <c:v>16.8</c:v>
                </c:pt>
                <c:pt idx="11">
                  <c:v>17.2</c:v>
                </c:pt>
                <c:pt idx="12">
                  <c:v>18.8</c:v>
                </c:pt>
                <c:pt idx="13">
                  <c:v>16.8</c:v>
                </c:pt>
                <c:pt idx="14">
                  <c:v>16.8</c:v>
                </c:pt>
                <c:pt idx="15">
                  <c:v>17.8</c:v>
                </c:pt>
                <c:pt idx="16">
                  <c:v>18.899999999999999</c:v>
                </c:pt>
                <c:pt idx="17">
                  <c:v>27</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Teignbridge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18.899999999999991</c:v>
                </c:pt>
                <c:pt idx="1">
                  <c:v>21.000000000000007</c:v>
                </c:pt>
                <c:pt idx="2">
                  <c:v>31.5</c:v>
                </c:pt>
                <c:pt idx="3">
                  <c:v>19.200000000000003</c:v>
                </c:pt>
                <c:pt idx="4">
                  <c:v>26.9</c:v>
                </c:pt>
                <c:pt idx="5">
                  <c:v>6.5999999999999943</c:v>
                </c:pt>
                <c:pt idx="6">
                  <c:v>37.800000000000004</c:v>
                </c:pt>
                <c:pt idx="7">
                  <c:v>31.399999999999991</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Teignbridge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9.7292484956750283</c:v>
                </c:pt>
                <c:pt idx="1">
                  <c:v>6.8134812503445081</c:v>
                </c:pt>
                <c:pt idx="2">
                  <c:v>4.1327533087505453</c:v>
                </c:pt>
                <c:pt idx="3">
                  <c:v>3.5440820997838225</c:v>
                </c:pt>
                <c:pt idx="4">
                  <c:v>5.390545647686622</c:v>
                </c:pt>
                <c:pt idx="5">
                  <c:v>10.535157187425007</c:v>
                </c:pt>
                <c:pt idx="6">
                  <c:v>9.7397806089822421</c:v>
                </c:pt>
                <c:pt idx="7">
                  <c:v>11.88687764232648</c:v>
                </c:pt>
                <c:pt idx="8">
                  <c:v>0</c:v>
                </c:pt>
                <c:pt idx="9">
                  <c:v>5.8545580269678457</c:v>
                </c:pt>
                <c:pt idx="10">
                  <c:v>8.836240562353554</c:v>
                </c:pt>
                <c:pt idx="11">
                  <c:v>8.3558327902429941</c:v>
                </c:pt>
                <c:pt idx="12">
                  <c:v>5.4647911934300195</c:v>
                </c:pt>
                <c:pt idx="13">
                  <c:v>0</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Teignbridge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52.6</c:v>
                </c:pt>
                <c:pt idx="1">
                  <c:v>52.7</c:v>
                </c:pt>
                <c:pt idx="2">
                  <c:v>53.8</c:v>
                </c:pt>
                <c:pt idx="3">
                  <c:v>53.2</c:v>
                </c:pt>
                <c:pt idx="4">
                  <c:v>50.500000000000007</c:v>
                </c:pt>
                <c:pt idx="5">
                  <c:v>56.7</c:v>
                </c:pt>
                <c:pt idx="6">
                  <c:v>54.900000000000006</c:v>
                </c:pt>
                <c:pt idx="7">
                  <c:v>58.3</c:v>
                </c:pt>
                <c:pt idx="8">
                  <c:v>60.3</c:v>
                </c:pt>
                <c:pt idx="9">
                  <c:v>52.300000000000004</c:v>
                </c:pt>
                <c:pt idx="10">
                  <c:v>56.699999999999996</c:v>
                </c:pt>
                <c:pt idx="11">
                  <c:v>63.9</c:v>
                </c:pt>
                <c:pt idx="12">
                  <c:v>53.699999999999996</c:v>
                </c:pt>
                <c:pt idx="13">
                  <c:v>56.1</c:v>
                </c:pt>
                <c:pt idx="14">
                  <c:v>59.300000000000004</c:v>
                </c:pt>
                <c:pt idx="15">
                  <c:v>57.5</c:v>
                </c:pt>
                <c:pt idx="16">
                  <c:v>55.8</c:v>
                </c:pt>
                <c:pt idx="17">
                  <c:v>62.9</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Teignbridge over the period 2004 to 2021 is on the whole greater than both 'Rural as a Region' and England.</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Teignbridge, it continues to be below that seen in England overall.</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Teignbridge increases from 2017 to 2018, moving it further above that seen for rural on average.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Teignbridge's economic inactivity rate has from 2004 to 2021 generally been below that of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Teignbridge shows no real pattern of change with some significant fluctuations from year to year.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Teignbridge has been less stable and has in certain years been significantly lower than both the England and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Teignbridge in general has over the period 2004 to 2021 had a proportion of employed people in skilled employment similar to 'Rural as a Region', however with certain years being noticably higher.</a:t>
          </a:r>
          <a:endParaRPr lang="en-GB" sz="1100">
            <a:latin typeface="Avenir Next LT Pro" panose="020B0504020202020204" pitchFamily="34" charset="0"/>
          </a:endParaRPr>
        </a:p>
      </xdr:txBody>
    </xdr:sp>
    <xdr:clientData/>
  </xdr:twoCellAnchor>
  <xdr:twoCellAnchor>
    <xdr:from>
      <xdr:col>0</xdr:col>
      <xdr:colOff>624840</xdr:colOff>
      <xdr:row>21</xdr:row>
      <xdr:rowOff>7620</xdr:rowOff>
    </xdr:from>
    <xdr:to>
      <xdr:col>1</xdr:col>
      <xdr:colOff>2606040</xdr:colOff>
      <xdr:row>22</xdr:row>
      <xdr:rowOff>350520</xdr:rowOff>
    </xdr:to>
    <xdr:sp macro="" textlink="">
      <xdr:nvSpPr>
        <xdr:cNvPr id="20" name="TextBox 19">
          <a:extLst>
            <a:ext uri="{FF2B5EF4-FFF2-40B4-BE49-F238E27FC236}">
              <a16:creationId xmlns:a16="http://schemas.microsoft.com/office/drawing/2014/main" id="{83D7D2CC-273C-4A51-8679-BD3DC636623B}"/>
            </a:ext>
          </a:extLst>
        </xdr:cNvPr>
        <xdr:cNvSpPr txBox="1"/>
      </xdr:nvSpPr>
      <xdr:spPr>
        <a:xfrm>
          <a:off x="624840" y="7581900"/>
          <a:ext cx="6682740" cy="9906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Teignbridge has fluctauted a little over the years, is consistently below the rural average situation, but does follow a roughly similar trajectory of increase from 2008 to 2021 as the England and rural situations.</a:t>
          </a:r>
          <a:endParaRPr lang="en-GB" sz="1100">
            <a:latin typeface="Avenir Next LT Pro" panose="020B0504020202020204" pitchFamily="34" charset="0"/>
          </a:endParaRPr>
        </a:p>
      </xdr:txBody>
    </xdr:sp>
    <xdr:clientData/>
  </xdr:twoCellAnchor>
  <xdr:twoCellAnchor>
    <xdr:from>
      <xdr:col>0</xdr:col>
      <xdr:colOff>579120</xdr:colOff>
      <xdr:row>12</xdr:row>
      <xdr:rowOff>510540</xdr:rowOff>
    </xdr:from>
    <xdr:to>
      <xdr:col>1</xdr:col>
      <xdr:colOff>2560320</xdr:colOff>
      <xdr:row>14</xdr:row>
      <xdr:rowOff>15240</xdr:rowOff>
    </xdr:to>
    <xdr:sp macro="" textlink="">
      <xdr:nvSpPr>
        <xdr:cNvPr id="21" name="TextBox 20">
          <a:extLst>
            <a:ext uri="{FF2B5EF4-FFF2-40B4-BE49-F238E27FC236}">
              <a16:creationId xmlns:a16="http://schemas.microsoft.com/office/drawing/2014/main" id="{EF10332D-DBEB-49CF-BA5D-7E40DB681369}"/>
            </a:ext>
          </a:extLst>
        </xdr:cNvPr>
        <xdr:cNvSpPr txBox="1"/>
      </xdr:nvSpPr>
      <xdr:spPr>
        <a:xfrm>
          <a:off x="579120" y="34975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Teignbridge is below that for rural, but moves closer from its position in 2004 to that in 2019.</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438</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Teignbridge</v>
      </c>
      <c r="G12" s="88" t="str">
        <f>IFERROR(VLOOKUP(F12,GVA!B244:B552,1,FALSE),VLOOKUP(F12,GVA!B6:C230,2,FALSE))</f>
        <v>Teignbridge</v>
      </c>
      <c r="H12" s="89" t="str">
        <f>IF(F12=G12,"",G12)</f>
        <v/>
      </c>
      <c r="I12" s="76">
        <f>IFERROR(VLOOKUP($F12,GVA!$B$7:$S$230,GVA!D$3,FALSE),VLOOKUP($F12,GVA!$B$244:$T$554,GVA!E$3,FALSE))</f>
        <v>20.59</v>
      </c>
      <c r="J12" s="77">
        <f>IFERROR(VLOOKUP($F12,GVA!$B$7:$S$230,GVA!E$3,FALSE),VLOOKUP($F12,GVA!$B$244:$T$554,GVA!F$3,FALSE))</f>
        <v>20.51</v>
      </c>
      <c r="K12" s="77">
        <f>IFERROR(VLOOKUP($F12,GVA!$B$7:$S$230,GVA!F$3,FALSE),VLOOKUP($F12,GVA!$B$244:$T$554,GVA!G$3,FALSE))</f>
        <v>21.45</v>
      </c>
      <c r="L12" s="77">
        <f>IFERROR(VLOOKUP($F12,GVA!$B$7:$S$230,GVA!G$3,FALSE),VLOOKUP($F12,GVA!$B$244:$T$554,GVA!H$3,FALSE))</f>
        <v>21.63</v>
      </c>
      <c r="M12" s="77">
        <f>IFERROR(VLOOKUP($F12,GVA!$B$7:$S$230,GVA!H$3,FALSE),VLOOKUP($F12,GVA!$B$244:$T$554,GVA!I$3,FALSE))</f>
        <v>21.83</v>
      </c>
      <c r="N12" s="77">
        <f>IFERROR(VLOOKUP($F12,GVA!$B$7:$S$230,GVA!I$3,FALSE),VLOOKUP($F12,GVA!$B$244:$T$554,GVA!J$3,FALSE))</f>
        <v>21.85</v>
      </c>
      <c r="O12" s="77">
        <f>IFERROR(VLOOKUP($F12,GVA!$B$7:$S$230,GVA!J$3,FALSE),VLOOKUP($F12,GVA!$B$244:$T$554,GVA!K$3,FALSE))</f>
        <v>22.19</v>
      </c>
      <c r="P12" s="77">
        <f>IFERROR(VLOOKUP($F12,GVA!$B$7:$S$230,GVA!K$3,FALSE),VLOOKUP($F12,GVA!$B$244:$T$554,GVA!L$3,FALSE))</f>
        <v>22.07</v>
      </c>
      <c r="Q12" s="77">
        <f>IFERROR(VLOOKUP($F12,GVA!$B$7:$S$230,GVA!L$3,FALSE),VLOOKUP($F12,GVA!$B$244:$T$554,GVA!M$3,FALSE))</f>
        <v>22.44</v>
      </c>
      <c r="R12" s="77">
        <f>IFERROR(VLOOKUP($F12,GVA!$B$7:$S$230,GVA!M$3,FALSE),VLOOKUP($F12,GVA!$B$244:$T$554,GVA!N$3,FALSE))</f>
        <v>23.25</v>
      </c>
      <c r="S12" s="77">
        <f>IFERROR(VLOOKUP($F12,GVA!$B$7:$S$230,GVA!N$3,FALSE),VLOOKUP($F12,GVA!$B$244:$T$554,GVA!O$3,FALSE))</f>
        <v>24.84</v>
      </c>
      <c r="T12" s="77">
        <f>IFERROR(VLOOKUP($F12,GVA!$B$7:$S$230,GVA!O$3,FALSE),VLOOKUP($F12,GVA!$B$244:$T$554,GVA!P$3,FALSE))</f>
        <v>26.1</v>
      </c>
      <c r="U12" s="77">
        <f>IFERROR(VLOOKUP($F12,GVA!$B$7:$S$230,GVA!P$3,FALSE),VLOOKUP($F12,GVA!$B$244:$T$554,GVA!Q$3,FALSE))</f>
        <v>27.09</v>
      </c>
      <c r="V12" s="77">
        <f>IFERROR(VLOOKUP($F12,GVA!$B$7:$S$230,GVA!Q$3,FALSE),VLOOKUP($F12,GVA!$B$244:$T$554,GVA!R$3,FALSE))</f>
        <v>27.86</v>
      </c>
      <c r="W12" s="77">
        <f>IFERROR(VLOOKUP($F12,GVA!$B$7:$S$230,GVA!R$3,FALSE),VLOOKUP($F12,GVA!$B$244:$T$554,GVA!S$3,FALSE))</f>
        <v>28.57</v>
      </c>
      <c r="X12" s="77">
        <f>IFERROR(VLOOKUP($F12,GVA!$B$7:$S$230,GVA!S$3,FALSE),VLOOKUP($F12,GVA!$B$244:$T$554,GVA!T$3,FALSE))</f>
        <v>28.96</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Teignbridge to Rural as a Region</v>
      </c>
      <c r="G15" s="102"/>
      <c r="H15" s="103"/>
      <c r="I15" s="74">
        <f>100*((I12-I13)/I13)</f>
        <v>-12.532303008541609</v>
      </c>
      <c r="J15" s="74">
        <f t="shared" ref="J15:X15" si="0">100*((J12-J13)/J13)</f>
        <v>-12.62957177921577</v>
      </c>
      <c r="K15" s="74">
        <f t="shared" si="0"/>
        <v>-11.74266359054244</v>
      </c>
      <c r="L15" s="74">
        <f t="shared" si="0"/>
        <v>-12.917697130039709</v>
      </c>
      <c r="M15" s="74">
        <f t="shared" si="0"/>
        <v>-13.594662218515422</v>
      </c>
      <c r="N15" s="74">
        <f t="shared" si="0"/>
        <v>-14.222020741128469</v>
      </c>
      <c r="O15" s="74">
        <f t="shared" si="0"/>
        <v>-13.959295965139813</v>
      </c>
      <c r="P15" s="74">
        <f t="shared" si="0"/>
        <v>-15.68175305980432</v>
      </c>
      <c r="Q15" s="74">
        <f t="shared" si="0"/>
        <v>-15.988768551945453</v>
      </c>
      <c r="R15" s="74">
        <f t="shared" si="0"/>
        <v>-14.44004889140067</v>
      </c>
      <c r="S15" s="74">
        <f t="shared" si="0"/>
        <v>-10.080285459411272</v>
      </c>
      <c r="T15" s="74">
        <f t="shared" si="0"/>
        <v>-7.2761414965065541</v>
      </c>
      <c r="U15" s="74">
        <f t="shared" si="0"/>
        <v>-6.058266695839901</v>
      </c>
      <c r="V15" s="74">
        <f t="shared" si="0"/>
        <v>-5.944577296384856</v>
      </c>
      <c r="W15" s="74">
        <f t="shared" si="0"/>
        <v>-5.5050025790548593</v>
      </c>
      <c r="X15" s="74">
        <f t="shared" si="0"/>
        <v>-5.2086458767647068</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Teignbridge</v>
      </c>
      <c r="G20" s="88"/>
      <c r="H20" s="89"/>
      <c r="I20" s="80">
        <f>IF(VLOOKUP($F20,PAY!$A$11:$AE$349,4,FALSE)="-",#N/A,VLOOKUP($F20,PAY!$A$11:$AE$349,4,FALSE))</f>
        <v>403.1</v>
      </c>
      <c r="J20" s="80">
        <f>IF(VLOOKUP($F20,PAY!$A$11:$AE$349,6,FALSE)="-",#N/A,VLOOKUP($F20,PAY!$A$11:$AE$349,6,FALSE))</f>
        <v>419.7</v>
      </c>
      <c r="K20" s="80">
        <f>IF(VLOOKUP($F20,PAY!$A$11:$AE$349,8,FALSE)="-",#N/A,VLOOKUP($F20,PAY!$A$11:$AE$349,8,FALSE))</f>
        <v>416.7</v>
      </c>
      <c r="L20" s="80">
        <f>IF(VLOOKUP($F20,PAY!$A$11:$AE$349,10,FALSE)="-",#N/A,VLOOKUP($F20,PAY!$A$11:$AE$349,10,FALSE))</f>
        <v>421.5</v>
      </c>
      <c r="M20" s="80">
        <f>IF(VLOOKUP($F20,PAY!$A$11:$AE$349,12,FALSE)="-",#N/A,VLOOKUP($F20,PAY!$A$11:$AE$349,12,FALSE))</f>
        <v>403.5</v>
      </c>
      <c r="N20" s="80">
        <f>IF(VLOOKUP($F20,PAY!$A$11:$AE$349,14,FALSE)="-",#N/A,VLOOKUP($F20,PAY!$A$11:$AE$349,14,FALSE))</f>
        <v>420.3</v>
      </c>
      <c r="O20" s="80">
        <f>IF(VLOOKUP($F20,PAY!$A$11:$AE$349,16,FALSE)="-",#N/A,VLOOKUP($F20,PAY!$A$11:$AE$349,16,FALSE))</f>
        <v>443.1</v>
      </c>
      <c r="P20" s="80">
        <f>IF(VLOOKUP($F20,PAY!$A$11:$AE$349,18,FALSE)="-",#N/A,VLOOKUP($F20,PAY!$A$11:$AE$349,18,FALSE))</f>
        <v>394</v>
      </c>
      <c r="Q20" s="80">
        <f>IF(VLOOKUP($F20,PAY!$A$11:$AE$349,20,FALSE)="-",#N/A,VLOOKUP($F20,PAY!$A$11:$AE$349,20,FALSE))</f>
        <v>430.9</v>
      </c>
      <c r="R20" s="80">
        <f>IF(VLOOKUP($F20,PAY!$A$11:$AE$349,22,FALSE)="-",#N/A,VLOOKUP($F20,PAY!$A$11:$AE$349,22,FALSE))</f>
        <v>431.6</v>
      </c>
      <c r="S20" s="80">
        <f>IF(VLOOKUP($F20,PAY!$A$11:$AE$349,24,FALSE)="-",#N/A,VLOOKUP($F20,PAY!$A$11:$AE$349,24,FALSE))</f>
        <v>459.9</v>
      </c>
      <c r="T20" s="80">
        <f>IF(VLOOKUP($F20,PAY!$A$11:$AE$349,26,FALSE)="-",#N/A,VLOOKUP($F20,PAY!$A$11:$AE$349,26,FALSE))</f>
        <v>467.3</v>
      </c>
      <c r="U20" s="80">
        <f>IF(VLOOKUP($F20,PAY!$A$11:$AE$349,28,FALSE)="-",#N/A,VLOOKUP($F20,PAY!$A$11:$AE$349,28,FALSE))</f>
        <v>476.8</v>
      </c>
      <c r="V20" s="80">
        <f>IF(VLOOKUP($F20,PAY!$A$11:$AE$349,30,FALSE)="-",#N/A,VLOOKUP($F20,PAY!$A$11:$AE$349,30,FALSE))</f>
        <v>522.6</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Teignbridge to Rural as a Region</v>
      </c>
      <c r="G23" s="102"/>
      <c r="H23" s="103"/>
      <c r="I23" s="74">
        <f>100*((I20-I21)/I21)</f>
        <v>-6.9036788437251433</v>
      </c>
      <c r="J23" s="74">
        <f t="shared" ref="J23:V23" si="2">100*((J20-J21)/J21)</f>
        <v>-3.9423241975167418</v>
      </c>
      <c r="K23" s="74">
        <f t="shared" si="2"/>
        <v>-7.0099912714083805</v>
      </c>
      <c r="L23" s="74">
        <f t="shared" si="2"/>
        <v>-6.4690912767965303</v>
      </c>
      <c r="M23" s="74">
        <f t="shared" si="2"/>
        <v>-11.366025102741069</v>
      </c>
      <c r="N23" s="74">
        <f t="shared" si="2"/>
        <v>-9.2562024126414943</v>
      </c>
      <c r="O23" s="74">
        <f t="shared" si="2"/>
        <v>-5.8841084708577265</v>
      </c>
      <c r="P23" s="74">
        <f t="shared" si="2"/>
        <v>-17.021452431160011</v>
      </c>
      <c r="Q23" s="74">
        <f t="shared" si="2"/>
        <v>-11.968212345257598</v>
      </c>
      <c r="R23" s="74">
        <f t="shared" si="2"/>
        <v>-14.37475672078449</v>
      </c>
      <c r="S23" s="74">
        <f t="shared" si="2"/>
        <v>-10.599318681266576</v>
      </c>
      <c r="T23" s="74">
        <f t="shared" si="2"/>
        <v>-12.441251196166903</v>
      </c>
      <c r="U23" s="74">
        <f t="shared" si="2"/>
        <v>-10.215305034371632</v>
      </c>
      <c r="V23" s="74">
        <f t="shared" si="2"/>
        <v>-7.3821720108214324</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Teignbridge</v>
      </c>
      <c r="G28" s="88"/>
      <c r="H28" s="89"/>
      <c r="I28" s="76">
        <f>VLOOKUP($F28,EMPLOYMENT!$A$6:$BW$345,6,FALSE)</f>
        <v>78.400000000000006</v>
      </c>
      <c r="J28" s="77">
        <f>VLOOKUP($F28,EMPLOYMENT!$A$6:$BW$345,10,FALSE)</f>
        <v>79.5</v>
      </c>
      <c r="K28" s="77">
        <f>VLOOKUP($F28,EMPLOYMENT!$A$6:$BW$345,14,FALSE)</f>
        <v>80.5</v>
      </c>
      <c r="L28" s="77">
        <f>VLOOKUP($F28,EMPLOYMENT!$A$6:$BW$345,18,FALSE)</f>
        <v>78.8</v>
      </c>
      <c r="M28" s="77">
        <f>VLOOKUP($F28,EMPLOYMENT!$A$6:$BW$345,22,FALSE)</f>
        <v>83.7</v>
      </c>
      <c r="N28" s="77">
        <f>VLOOKUP($F28,EMPLOYMENT!$A$6:$BW$345,26,FALSE)</f>
        <v>75.7</v>
      </c>
      <c r="O28" s="77">
        <f>VLOOKUP($F28,EMPLOYMENT!$A$6:$BW$345,30,FALSE)</f>
        <v>73.7</v>
      </c>
      <c r="P28" s="77">
        <f>VLOOKUP($F28,EMPLOYMENT!$A$6:$BW$345,34,FALSE)</f>
        <v>70.099999999999994</v>
      </c>
      <c r="Q28" s="77">
        <f>VLOOKUP($F28,EMPLOYMENT!$A$6:$BW$345,38,FALSE)</f>
        <v>75.099999999999994</v>
      </c>
      <c r="R28" s="77">
        <f>VLOOKUP($F28,EMPLOYMENT!$A$6:$BW$345,42,FALSE)</f>
        <v>78.599999999999994</v>
      </c>
      <c r="S28" s="77">
        <f>VLOOKUP($F28,EMPLOYMENT!$A$6:$BW$345,46,FALSE)</f>
        <v>80.7</v>
      </c>
      <c r="T28" s="77">
        <f>VLOOKUP($F28,EMPLOYMENT!$A$6:$BW$345,50,FALSE)</f>
        <v>81.7</v>
      </c>
      <c r="U28" s="77">
        <f>VLOOKUP($F28,EMPLOYMENT!$A$6:$BW$345,54,FALSE)</f>
        <v>76.599999999999994</v>
      </c>
      <c r="V28" s="77">
        <f>VLOOKUP($F28,EMPLOYMENT!$A$6:$BW$345,58,FALSE)</f>
        <v>81.8</v>
      </c>
      <c r="W28" s="77">
        <f>VLOOKUP($F28,EMPLOYMENT!$A$6:$BW$345,62,FALSE)</f>
        <v>80.8</v>
      </c>
      <c r="X28" s="77">
        <f>VLOOKUP($F28,EMPLOYMENT!$A$6:$BW$345,66,FALSE)</f>
        <v>78.7</v>
      </c>
      <c r="Y28" s="77">
        <f>VLOOKUP($F28,EMPLOYMENT!$A$6:$BW$345,70,FALSE)</f>
        <v>78</v>
      </c>
      <c r="Z28" s="77">
        <f>VLOOKUP($F28,EMPLOYMENT!$A$6:$BW$345,74,FALSE)</f>
        <v>72.400000000000006</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Teignbridge to Rural as a Region</v>
      </c>
      <c r="G31" s="102"/>
      <c r="H31" s="103"/>
      <c r="I31" s="74">
        <f>(I28-I29)</f>
        <v>2.2886580805982675</v>
      </c>
      <c r="J31" s="74">
        <f t="shared" ref="J31:Z31" si="4">(J28-J29)</f>
        <v>3.1870245333170431</v>
      </c>
      <c r="K31" s="74">
        <f t="shared" si="4"/>
        <v>4.6268111005132369</v>
      </c>
      <c r="L31" s="74">
        <f t="shared" si="4"/>
        <v>3.1595316973721594</v>
      </c>
      <c r="M31" s="74">
        <f t="shared" si="4"/>
        <v>7.9644756266682606</v>
      </c>
      <c r="N31" s="74">
        <f t="shared" si="4"/>
        <v>1.1904601571268216</v>
      </c>
      <c r="O31" s="74">
        <f t="shared" si="4"/>
        <v>0.1528668610301338</v>
      </c>
      <c r="P31" s="74">
        <f t="shared" si="4"/>
        <v>-3.6342954032776191</v>
      </c>
      <c r="Q31" s="74">
        <f t="shared" si="4"/>
        <v>1.0668425245374209</v>
      </c>
      <c r="R31" s="74">
        <f t="shared" si="4"/>
        <v>3.8555250700997874</v>
      </c>
      <c r="S31" s="74">
        <f t="shared" si="4"/>
        <v>4.5911396599243943</v>
      </c>
      <c r="T31" s="74">
        <f t="shared" si="4"/>
        <v>4.5094680243909835</v>
      </c>
      <c r="U31" s="74">
        <f t="shared" si="4"/>
        <v>-0.37163248170804764</v>
      </c>
      <c r="V31" s="74">
        <f t="shared" si="4"/>
        <v>3.7672131147540995</v>
      </c>
      <c r="W31" s="74">
        <f t="shared" si="4"/>
        <v>2.7518431065858522</v>
      </c>
      <c r="X31" s="74">
        <f t="shared" si="4"/>
        <v>0.10870062104329747</v>
      </c>
      <c r="Y31" s="74">
        <f t="shared" si="4"/>
        <v>0.98565370387079554</v>
      </c>
      <c r="Z31" s="74">
        <f t="shared" si="4"/>
        <v>-3.7557580778790367</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Teignbridge</v>
      </c>
      <c r="G36" s="88" t="str">
        <f>IFERROR(VLOOKUP(F36,GDHI!B338:C574,2,FALSE),VLOOKUP(F36,GDHI!C3:C336,1,FALSE))</f>
        <v>Teignbridge</v>
      </c>
      <c r="H36" s="89" t="str">
        <f>IF(F36=G36,"",G36)</f>
        <v/>
      </c>
      <c r="I36" s="83">
        <f>IFERROR(VLOOKUP($F36,GDHI!$B$338:$U$574,GDHI!G$578,FALSE),VLOOKUP($F36,GDHI!$C$3:$U$336,GDHI!F$578,FALSE))</f>
        <v>13153</v>
      </c>
      <c r="J36" s="84">
        <f>IFERROR(VLOOKUP($F36,GDHI!$B$338:$U$574,GDHI!H$578,FALSE),VLOOKUP($F36,GDHI!$C$3:$U$336,GDHI!G$578,FALSE))</f>
        <v>13825</v>
      </c>
      <c r="K36" s="84">
        <f>IFERROR(VLOOKUP($F36,GDHI!$B$338:$U$574,GDHI!I$578,FALSE),VLOOKUP($F36,GDHI!$C$3:$U$336,GDHI!H$578,FALSE))</f>
        <v>14597</v>
      </c>
      <c r="L36" s="84">
        <f>IFERROR(VLOOKUP($F36,GDHI!$B$338:$U$574,GDHI!J$578,FALSE),VLOOKUP($F36,GDHI!$C$3:$U$336,GDHI!I$578,FALSE))</f>
        <v>15129</v>
      </c>
      <c r="M36" s="84">
        <f>IFERROR(VLOOKUP($F36,GDHI!$B$338:$U$574,GDHI!K$578,FALSE),VLOOKUP($F36,GDHI!$C$3:$U$336,GDHI!J$578,FALSE))</f>
        <v>15765</v>
      </c>
      <c r="N36" s="84">
        <f>IFERROR(VLOOKUP($F36,GDHI!$B$338:$U$574,GDHI!L$578,FALSE),VLOOKUP($F36,GDHI!$C$3:$U$336,GDHI!K$578,FALSE))</f>
        <v>16290</v>
      </c>
      <c r="O36" s="84">
        <f>IFERROR(VLOOKUP($F36,GDHI!$B$338:$U$574,GDHI!M$578,FALSE),VLOOKUP($F36,GDHI!$C$3:$U$336,GDHI!L$578,FALSE))</f>
        <v>16471</v>
      </c>
      <c r="P36" s="84">
        <f>IFERROR(VLOOKUP($F36,GDHI!$B$338:$U$574,GDHI!N$578,FALSE),VLOOKUP($F36,GDHI!$C$3:$U$336,GDHI!M$578,FALSE))</f>
        <v>16675</v>
      </c>
      <c r="Q36" s="84">
        <f>IFERROR(VLOOKUP($F36,GDHI!$B$338:$U$574,GDHI!O$578,FALSE),VLOOKUP($F36,GDHI!$C$3:$U$336,GDHI!N$578,FALSE))</f>
        <v>17270</v>
      </c>
      <c r="R36" s="84">
        <f>IFERROR(VLOOKUP($F36,GDHI!$B$338:$U$574,GDHI!P$578,FALSE),VLOOKUP($F36,GDHI!$C$3:$U$336,GDHI!O$578,FALSE))</f>
        <v>17846</v>
      </c>
      <c r="S36" s="84">
        <f>IFERROR(VLOOKUP($F36,GDHI!$B$338:$U$574,GDHI!Q$578,FALSE),VLOOKUP($F36,GDHI!$C$3:$U$336,GDHI!P$578,FALSE))</f>
        <v>18206</v>
      </c>
      <c r="T36" s="84">
        <f>IFERROR(VLOOKUP($F36,GDHI!$B$338:$U$574,GDHI!R$578,FALSE),VLOOKUP($F36,GDHI!$C$3:$U$336,GDHI!Q$578,FALSE))</f>
        <v>18959</v>
      </c>
      <c r="U36" s="84">
        <f>IFERROR(VLOOKUP($F36,GDHI!$B$338:$U$574,GDHI!S$578,FALSE),VLOOKUP($F36,GDHI!$C$3:$U$336,GDHI!R$578,FALSE))</f>
        <v>19244</v>
      </c>
      <c r="V36" s="84">
        <f>IFERROR(VLOOKUP($F36,GDHI!$B$338:$U$574,GDHI!T$578,FALSE),VLOOKUP($F36,GDHI!$C$3:$U$336,GDHI!S$578,FALSE))</f>
        <v>19484</v>
      </c>
      <c r="W36" s="84">
        <f>IFERROR(VLOOKUP($F36,GDHI!$B$338:$U$574,GDHI!U$578,FALSE),VLOOKUP($F36,GDHI!$C$3:$U$336,GDHI!T$578,FALSE))</f>
        <v>20499</v>
      </c>
      <c r="X36" s="84">
        <f>IFERROR(VLOOKUP($F36,GDHI!$B$338:$U$574,GDHI!V$578,FALSE),VLOOKUP($F36,GDHI!$C$3:$U$336,GDHI!U$578,FALSE))</f>
        <v>21009</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Teignbridge to Rural as a Region</v>
      </c>
      <c r="G39" s="102"/>
      <c r="H39" s="103"/>
      <c r="I39" s="74">
        <f>100*((I36-I37)/I37)</f>
        <v>-10.581596927155919</v>
      </c>
      <c r="J39" s="74">
        <f t="shared" ref="J39:X39" si="6">100*((J36-J37)/J37)</f>
        <v>-9.8846029389740409</v>
      </c>
      <c r="K39" s="74">
        <f t="shared" si="6"/>
        <v>-8.3343612700363519</v>
      </c>
      <c r="L39" s="74">
        <f t="shared" si="6"/>
        <v>-8.6864018589852812</v>
      </c>
      <c r="M39" s="74">
        <f t="shared" si="6"/>
        <v>-7.6091013679400854</v>
      </c>
      <c r="N39" s="74">
        <f t="shared" si="6"/>
        <v>-5.7995807531985708</v>
      </c>
      <c r="O39" s="74">
        <f t="shared" si="6"/>
        <v>-5.9225588424284314</v>
      </c>
      <c r="P39" s="74">
        <f t="shared" si="6"/>
        <v>-6.320475333131796</v>
      </c>
      <c r="Q39" s="74">
        <f t="shared" si="6"/>
        <v>-5.9693772386622976</v>
      </c>
      <c r="R39" s="74">
        <f t="shared" si="6"/>
        <v>-5.4463479816905567</v>
      </c>
      <c r="S39" s="74">
        <f t="shared" si="6"/>
        <v>-6.1354584607679374</v>
      </c>
      <c r="T39" s="74">
        <f t="shared" si="6"/>
        <v>-7.3288247555138062</v>
      </c>
      <c r="U39" s="74">
        <f t="shared" si="6"/>
        <v>-6.6953267316674543</v>
      </c>
      <c r="V39" s="74">
        <f t="shared" si="6"/>
        <v>-7.0663181725522843</v>
      </c>
      <c r="W39" s="74">
        <f t="shared" si="6"/>
        <v>-6.1481928012915414</v>
      </c>
      <c r="X39" s="74">
        <f t="shared" si="6"/>
        <v>-5.6416957756389383</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Teignbridge</v>
      </c>
      <c r="G44" s="88"/>
      <c r="H44" s="89"/>
      <c r="I44" s="76">
        <f>VLOOKUP($F44,'LOW PAID'!$A$9:$N$444,6,FALSE)</f>
        <v>27.7</v>
      </c>
      <c r="J44" s="77">
        <f>VLOOKUP($F44,'LOW PAID'!$P$9:$W$444,6,FALSE)</f>
        <v>29.3</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Teignbridge to Rural as a Region</v>
      </c>
      <c r="G47" s="102"/>
      <c r="H47" s="103"/>
      <c r="I47" s="74">
        <f>(I44-I45)</f>
        <v>2.5061253217868824</v>
      </c>
      <c r="J47" s="74">
        <f>(J44-J45)</f>
        <v>3.6138834909699469</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Teignbridge</v>
      </c>
      <c r="G52" s="88"/>
      <c r="H52" s="89"/>
      <c r="I52" s="76">
        <f>VLOOKUP($F52,INACTIVITY!$A$6:$BW$345,6,FALSE)</f>
        <v>18.899999999999999</v>
      </c>
      <c r="J52" s="77">
        <f>VLOOKUP($F52,INACTIVITY!$A$6:$BW$345,10,FALSE)</f>
        <v>18.8</v>
      </c>
      <c r="K52" s="77">
        <f>VLOOKUP($F52,INACTIVITY!$A$6:$BW$345,14,FALSE)</f>
        <v>17.899999999999999</v>
      </c>
      <c r="L52" s="77">
        <f>VLOOKUP($F52,INACTIVITY!$A$6:$BW$345,18,FALSE)</f>
        <v>19.3</v>
      </c>
      <c r="M52" s="77">
        <f>VLOOKUP($F52,INACTIVITY!$A$6:$BW$345,22,FALSE)</f>
        <v>14.8</v>
      </c>
      <c r="N52" s="77">
        <f>VLOOKUP($F52,INACTIVITY!$A$6:$BW$345,26,FALSE)</f>
        <v>18.8</v>
      </c>
      <c r="O52" s="77">
        <f>VLOOKUP($F52,INACTIVITY!$A$6:$BW$345,30,FALSE)</f>
        <v>22.9</v>
      </c>
      <c r="P52" s="77">
        <f>VLOOKUP($F52,INACTIVITY!$A$6:$BW$345,34,FALSE)</f>
        <v>24.1</v>
      </c>
      <c r="Q52" s="77">
        <f>VLOOKUP($F52,INACTIVITY!$A$6:$BW$345,38,FALSE)</f>
        <v>20.6</v>
      </c>
      <c r="R52" s="77">
        <f>VLOOKUP($F52,INACTIVITY!$A$6:$BW$345,42,FALSE)</f>
        <v>16.600000000000001</v>
      </c>
      <c r="S52" s="77">
        <f>VLOOKUP($F52,INACTIVITY!$A$6:$BW$345,46,FALSE)</f>
        <v>16.8</v>
      </c>
      <c r="T52" s="77">
        <f>VLOOKUP($F52,INACTIVITY!$A$6:$BW$345,50,FALSE)</f>
        <v>17.2</v>
      </c>
      <c r="U52" s="77">
        <f>VLOOKUP($F52,INACTIVITY!$A$6:$BW$345,54,FALSE)</f>
        <v>18.8</v>
      </c>
      <c r="V52" s="77">
        <f>VLOOKUP($F52,INACTIVITY!$A$6:$BW$345,58,FALSE)</f>
        <v>16.8</v>
      </c>
      <c r="W52" s="77">
        <f>VLOOKUP($F52,INACTIVITY!$A$6:$BW$345,62,FALSE)</f>
        <v>16.8</v>
      </c>
      <c r="X52" s="77">
        <f>VLOOKUP($F52,INACTIVITY!$A$6:$BW$345,66,FALSE)</f>
        <v>17.8</v>
      </c>
      <c r="Y52" s="77">
        <f>VLOOKUP($F52,INACTIVITY!$A$6:$BW$345,70,FALSE)</f>
        <v>18.899999999999999</v>
      </c>
      <c r="Z52" s="77">
        <f>VLOOKUP($F52,INACTIVITY!$A$6:$BW$345,74,FALSE)</f>
        <v>27</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Teignbridge to Rural as a Region</v>
      </c>
      <c r="G55" s="102"/>
      <c r="H55" s="103"/>
      <c r="I55" s="74">
        <f>(I52-I53)</f>
        <v>-2.4956445716102387</v>
      </c>
      <c r="J55" s="74">
        <f t="shared" ref="J55:Z55" si="10">(J52-J53)</f>
        <v>-2.2085227272727259</v>
      </c>
      <c r="K55" s="74">
        <f t="shared" si="10"/>
        <v>-2.9624653934587784</v>
      </c>
      <c r="L55" s="74">
        <f t="shared" si="10"/>
        <v>-2.0140653315366386</v>
      </c>
      <c r="M55" s="74">
        <f t="shared" si="10"/>
        <v>-6.0350023108920041</v>
      </c>
      <c r="N55" s="74">
        <f t="shared" si="10"/>
        <v>-2.1331437579204398</v>
      </c>
      <c r="O55" s="74">
        <f t="shared" si="10"/>
        <v>1.2080628724948248</v>
      </c>
      <c r="P55" s="74">
        <f t="shared" si="10"/>
        <v>2.6057542192465526</v>
      </c>
      <c r="Q55" s="74">
        <f t="shared" si="10"/>
        <v>-0.58254879448909236</v>
      </c>
      <c r="R55" s="74">
        <f t="shared" si="10"/>
        <v>-4.1745930974387697</v>
      </c>
      <c r="S55" s="74">
        <f t="shared" si="10"/>
        <v>-3.4732104559723993</v>
      </c>
      <c r="T55" s="74">
        <f t="shared" si="10"/>
        <v>-2.4961946834069586</v>
      </c>
      <c r="U55" s="74">
        <f t="shared" si="10"/>
        <v>-1.0524293470694701</v>
      </c>
      <c r="V55" s="74">
        <f t="shared" si="10"/>
        <v>-2.4532773342803758</v>
      </c>
      <c r="W55" s="74">
        <f t="shared" si="10"/>
        <v>-2.3769560091828481</v>
      </c>
      <c r="X55" s="74">
        <f t="shared" si="10"/>
        <v>-1.0520649493649294</v>
      </c>
      <c r="Y55" s="74">
        <f t="shared" si="10"/>
        <v>-0.87258272187146346</v>
      </c>
      <c r="Z55" s="74">
        <f t="shared" si="10"/>
        <v>5.9148202243699295</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Teignbridge</v>
      </c>
      <c r="G60" s="88"/>
      <c r="H60" s="89"/>
      <c r="I60" s="76">
        <f>VLOOKUP($F60,DISABILITY!$A$718:$I$1052,DISABILITY!B$1053,FALSE)</f>
        <v>18.899999999999991</v>
      </c>
      <c r="J60" s="77">
        <f>VLOOKUP($F60,DISABILITY!$A$718:$I$1052,DISABILITY!C$1053,FALSE)</f>
        <v>21.000000000000007</v>
      </c>
      <c r="K60" s="77">
        <f>VLOOKUP($F60,DISABILITY!$A$718:$I$1052,DISABILITY!D$1053,FALSE)</f>
        <v>31.5</v>
      </c>
      <c r="L60" s="77">
        <f>VLOOKUP($F60,DISABILITY!$A$718:$I$1052,DISABILITY!E$1053,FALSE)</f>
        <v>19.200000000000003</v>
      </c>
      <c r="M60" s="77">
        <f>VLOOKUP($F60,DISABILITY!$A$718:$I$1052,DISABILITY!F$1053,FALSE)</f>
        <v>26.9</v>
      </c>
      <c r="N60" s="77">
        <f>VLOOKUP($F60,DISABILITY!$A$718:$I$1052,DISABILITY!G$1053,FALSE)</f>
        <v>6.5999999999999943</v>
      </c>
      <c r="O60" s="77">
        <f>VLOOKUP($F60,DISABILITY!$A$718:$I$1052,DISABILITY!H$1053,FALSE)</f>
        <v>37.800000000000004</v>
      </c>
      <c r="P60" s="77">
        <f>VLOOKUP($F60,DISABILITY!$A$718:$I$1052,DISABILITY!I$1053,FALSE)</f>
        <v>31.399999999999991</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Teignbridge to Rural as a Region</v>
      </c>
      <c r="G63" s="102"/>
      <c r="H63" s="103"/>
      <c r="I63" s="74">
        <f>(I60-I61)</f>
        <v>-8.5201565406472568</v>
      </c>
      <c r="J63" s="74">
        <f t="shared" ref="J63:P63" si="12">(J60-J61)</f>
        <v>-6.3190444070511802</v>
      </c>
      <c r="K63" s="74">
        <f t="shared" si="12"/>
        <v>3.3808716385017945</v>
      </c>
      <c r="L63" s="74">
        <f t="shared" si="12"/>
        <v>-6.7909345389966731</v>
      </c>
      <c r="M63" s="74">
        <f t="shared" si="12"/>
        <v>1.4247741813338806</v>
      </c>
      <c r="N63" s="74">
        <f t="shared" si="12"/>
        <v>-18.931247685441988</v>
      </c>
      <c r="O63" s="74">
        <f t="shared" si="12"/>
        <v>14.002777712003059</v>
      </c>
      <c r="P63" s="74">
        <f t="shared" si="12"/>
        <v>6.0458220696578167</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Teignbridge</v>
      </c>
      <c r="G68" s="88"/>
      <c r="H68" s="89"/>
      <c r="I68" s="76">
        <f>VLOOKUP($F68,'WORKLESS HOUSEHOLDS'!$DW$4:$EC$397,7,FALSE)</f>
        <v>9.7292484956750283</v>
      </c>
      <c r="J68" s="77">
        <f>VLOOKUP($F68,'WORKLESS HOUSEHOLDS'!$DN$4:$DT$397,7,FALSE)</f>
        <v>6.8134812503445081</v>
      </c>
      <c r="K68" s="77">
        <f>VLOOKUP($F68,'WORKLESS HOUSEHOLDS'!$DE$4:$DK$397,7,FALSE)</f>
        <v>4.1327533087505453</v>
      </c>
      <c r="L68" s="77">
        <f>VLOOKUP($F68,'WORKLESS HOUSEHOLDS'!$CV$4:$DB$397,7,FALSE)</f>
        <v>3.5440820997838225</v>
      </c>
      <c r="M68" s="77">
        <f>VLOOKUP($F68,'WORKLESS HOUSEHOLDS'!$CM$4:$CS$397,7,FALSE)</f>
        <v>5.390545647686622</v>
      </c>
      <c r="N68" s="77">
        <f>VLOOKUP($F68,'WORKLESS HOUSEHOLDS'!$CD$4:$CJ$397,7,FALSE)</f>
        <v>10.535157187425007</v>
      </c>
      <c r="O68" s="77">
        <f>VLOOKUP($F68,'WORKLESS HOUSEHOLDS'!$BU$4:$CA$397,7,FALSE)</f>
        <v>9.7397806089822421</v>
      </c>
      <c r="P68" s="77">
        <f>VLOOKUP($F68,'WORKLESS HOUSEHOLDS'!$BL$4:$BR$397,7,FALSE)</f>
        <v>11.88687764232648</v>
      </c>
      <c r="Q68" s="77" t="str">
        <f>VLOOKUP($F68,'WORKLESS HOUSEHOLDS'!$BC$4:$BI$397,7,FALSE)</f>
        <v>#</v>
      </c>
      <c r="R68" s="77">
        <f>VLOOKUP($F68,'WORKLESS HOUSEHOLDS'!$AT$4:$AZ$397,7,FALSE)</f>
        <v>5.8545580269678457</v>
      </c>
      <c r="S68" s="77">
        <f>VLOOKUP($F68,'WORKLESS HOUSEHOLDS'!$AK$4:$AQ$397,7,FALSE)</f>
        <v>8.836240562353554</v>
      </c>
      <c r="T68" s="77">
        <f>VLOOKUP($F68,'WORKLESS HOUSEHOLDS'!$AB$4:$AH$397,7,FALSE)</f>
        <v>8.3558327902429941</v>
      </c>
      <c r="U68" s="77">
        <f>VLOOKUP($F68,'WORKLESS HOUSEHOLDS'!$S$4:$Y$397,7,FALSE)</f>
        <v>5.4647911934300195</v>
      </c>
      <c r="V68" s="77" t="str">
        <f>VLOOKUP($F68,'WORKLESS HOUSEHOLDS'!$J$4:$P$397,7,FALSE)</f>
        <v>#</v>
      </c>
      <c r="W68" s="77" t="str">
        <f>VLOOKUP($F68,'WORKLESS HOUSEHOLDS'!$B$4:$H$397,7,FALSE)</f>
        <v>n/a</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Teignbridge to Rural as a Region</v>
      </c>
      <c r="G71" s="102"/>
      <c r="H71" s="103"/>
      <c r="I71" s="74">
        <f>(I68-I69)</f>
        <v>-0.28269736691166258</v>
      </c>
      <c r="J71" s="74">
        <f t="shared" ref="J71:W71" si="14">(J68-J69)</f>
        <v>-4.0976735871305161</v>
      </c>
      <c r="K71" s="74">
        <f t="shared" si="14"/>
        <v>-6.1604924204052987</v>
      </c>
      <c r="L71" s="74">
        <f t="shared" si="14"/>
        <v>-7.42192456154591</v>
      </c>
      <c r="M71" s="74">
        <f t="shared" si="14"/>
        <v>-6.3032335335018512</v>
      </c>
      <c r="N71" s="74">
        <f t="shared" si="14"/>
        <v>-1.3659424918303742</v>
      </c>
      <c r="O71" s="74">
        <f t="shared" si="14"/>
        <v>-1.2954726387602697</v>
      </c>
      <c r="P71" s="74">
        <f t="shared" si="14"/>
        <v>2.1953797565586424</v>
      </c>
      <c r="Q71" s="74" t="e">
        <f t="shared" si="14"/>
        <v>#VALUE!</v>
      </c>
      <c r="R71" s="74">
        <f t="shared" si="14"/>
        <v>-4.8515382967617082</v>
      </c>
      <c r="S71" s="74">
        <f t="shared" si="14"/>
        <v>-1.3165042657953272</v>
      </c>
      <c r="T71" s="74">
        <f t="shared" si="14"/>
        <v>-1.5478354043897564</v>
      </c>
      <c r="U71" s="74">
        <f t="shared" si="14"/>
        <v>-5.2972589712494562</v>
      </c>
      <c r="V71" s="74" t="e">
        <f t="shared" si="14"/>
        <v>#VALUE!</v>
      </c>
      <c r="W71" s="74" t="e">
        <f t="shared" si="14"/>
        <v>#VALUE!</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Teignbridge</v>
      </c>
      <c r="G76" s="88"/>
      <c r="H76" s="89"/>
      <c r="I76" s="76">
        <f>VLOOKUP($F76,'SKILLED EMPLOYMENT'!$A$1506:$BW$1841,6,FALSE)</f>
        <v>52.6</v>
      </c>
      <c r="J76" s="77">
        <f>VLOOKUP($F76,'SKILLED EMPLOYMENT'!$A$1506:$BW$1841,10,FALSE)</f>
        <v>52.7</v>
      </c>
      <c r="K76" s="77">
        <f>VLOOKUP($F76,'SKILLED EMPLOYMENT'!$A$1506:$BW$1841,14,FALSE)</f>
        <v>53.8</v>
      </c>
      <c r="L76" s="77">
        <f>VLOOKUP($F76,'SKILLED EMPLOYMENT'!$A$1506:$BW$1841,18,FALSE)</f>
        <v>53.2</v>
      </c>
      <c r="M76" s="77">
        <f>VLOOKUP($F76,'SKILLED EMPLOYMENT'!$A$1506:$BW$1841,22,FALSE)</f>
        <v>50.500000000000007</v>
      </c>
      <c r="N76" s="77">
        <f>VLOOKUP($F76,'SKILLED EMPLOYMENT'!$A$1506:$BW$1841,26,FALSE)</f>
        <v>56.7</v>
      </c>
      <c r="O76" s="77">
        <f>VLOOKUP($F76,'SKILLED EMPLOYMENT'!$A$1506:$BW$1841,30,FALSE)</f>
        <v>54.900000000000006</v>
      </c>
      <c r="P76" s="77">
        <f>VLOOKUP($F76,'SKILLED EMPLOYMENT'!$A$1506:$BW$1841,34,FALSE)</f>
        <v>58.3</v>
      </c>
      <c r="Q76" s="77">
        <f>VLOOKUP($F76,'SKILLED EMPLOYMENT'!$A$1506:$BW$1841,38,FALSE)</f>
        <v>60.3</v>
      </c>
      <c r="R76" s="77">
        <f>VLOOKUP($F76,'SKILLED EMPLOYMENT'!$A$1506:$BW$1841,42,FALSE)</f>
        <v>52.300000000000004</v>
      </c>
      <c r="S76" s="77">
        <f>VLOOKUP($F76,'SKILLED EMPLOYMENT'!$A$1506:$BW$1841,46,FALSE)</f>
        <v>56.699999999999996</v>
      </c>
      <c r="T76" s="77">
        <f>VLOOKUP($F76,'SKILLED EMPLOYMENT'!$A$1506:$BW$1841,50,FALSE)</f>
        <v>63.9</v>
      </c>
      <c r="U76" s="77">
        <f>VLOOKUP($F76,'SKILLED EMPLOYMENT'!$A$1506:$BW$1841,54,FALSE)</f>
        <v>53.699999999999996</v>
      </c>
      <c r="V76" s="77">
        <f>VLOOKUP($F76,'SKILLED EMPLOYMENT'!$A$1506:$BW$1841,58,FALSE)</f>
        <v>56.1</v>
      </c>
      <c r="W76" s="77">
        <f>VLOOKUP($F76,'SKILLED EMPLOYMENT'!$A$1506:$BW$1841,62,FALSE)</f>
        <v>59.300000000000004</v>
      </c>
      <c r="X76" s="77">
        <f>VLOOKUP($F76,'SKILLED EMPLOYMENT'!$A$1506:$BW$1841,66,FALSE)</f>
        <v>57.5</v>
      </c>
      <c r="Y76" s="77">
        <f>VLOOKUP($F76,'SKILLED EMPLOYMENT'!$A$1506:$BW$1841,70,FALSE)</f>
        <v>55.8</v>
      </c>
      <c r="Z76" s="77">
        <f>VLOOKUP($F76,'SKILLED EMPLOYMENT'!$A$1506:$BW$1841,74,FALSE)</f>
        <v>62.9</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Teignbridge to Rural as a Region</v>
      </c>
      <c r="G79" s="102"/>
      <c r="H79" s="103"/>
      <c r="I79" s="74">
        <f>(I76-I77)</f>
        <v>-0.10000000000000142</v>
      </c>
      <c r="J79" s="74">
        <f t="shared" ref="J79:Z79" si="17">(J76-J77)</f>
        <v>-0.19999999999999574</v>
      </c>
      <c r="K79" s="74">
        <f t="shared" si="17"/>
        <v>0.29999999999999716</v>
      </c>
      <c r="L79" s="74">
        <f t="shared" si="17"/>
        <v>-0.79999999999999716</v>
      </c>
      <c r="M79" s="74">
        <f t="shared" si="17"/>
        <v>-3.5999999999999943</v>
      </c>
      <c r="N79" s="74">
        <f t="shared" si="17"/>
        <v>2.3000000000000043</v>
      </c>
      <c r="O79" s="74">
        <f t="shared" si="17"/>
        <v>-0.49999999999999289</v>
      </c>
      <c r="P79" s="74">
        <f t="shared" si="17"/>
        <v>2.6999999999999957</v>
      </c>
      <c r="Q79" s="74">
        <f t="shared" si="17"/>
        <v>4.8999999999999986</v>
      </c>
      <c r="R79" s="74">
        <f t="shared" si="17"/>
        <v>-3.8999999999999986</v>
      </c>
      <c r="S79" s="74">
        <f t="shared" si="17"/>
        <v>0.49999999999999289</v>
      </c>
      <c r="T79" s="74">
        <f t="shared" si="17"/>
        <v>7.1000000000000014</v>
      </c>
      <c r="U79" s="74">
        <f t="shared" si="17"/>
        <v>-2.9000000000000057</v>
      </c>
      <c r="V79" s="74">
        <f t="shared" si="17"/>
        <v>-1</v>
      </c>
      <c r="W79" s="74">
        <f t="shared" si="17"/>
        <v>1.5000000000000071</v>
      </c>
      <c r="X79" s="74">
        <f t="shared" si="17"/>
        <v>-1.2999999999999972</v>
      </c>
      <c r="Y79" s="74">
        <f t="shared" si="17"/>
        <v>-2.9000000000000057</v>
      </c>
      <c r="Z79" s="74">
        <f t="shared" si="17"/>
        <v>4.5</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rL11Xy1qfGXwJg5k/WcW4NnNZrFHxilc4iJ6SXR9Xsyhm+7/tJcerpjNW5OP2AxLk8aTopW4COcpoezCfCnlXw==" saltValue="2VDkLmcfv+uZztMLCmUOdg=="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2022-08-02T13:25:15Z</dcterms:modified>
</cp:coreProperties>
</file>