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2F54D823-F961-4A32-B170-D464AECA381A}" xr6:coauthVersionLast="47" xr6:coauthVersionMax="47" xr10:uidLastSave="{6DB56150-BB22-4BF1-B320-70C5A2BB92E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<sst xmlns="http://schemas.openxmlformats.org/spreadsheetml/2006/main" count="32859" uniqueCount="1676">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</sst>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Tewkesbury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28.45</c:v>
                </c:pt>
                <c:pt idx="1">
                  <c:v>28.2</c:v>
                </c:pt>
                <c:pt idx="2">
                  <c:v>30.63</c:v>
                </c:pt>
                <c:pt idx="3">
                  <c:v>31.28</c:v>
                </c:pt>
                <c:pt idx="4">
                  <c:v>31.28</c:v>
                </c:pt>
                <c:pt idx="5">
                  <c:v>30.9</c:v>
                </c:pt>
                <c:pt idx="6">
                  <c:v>31.14</c:v>
                </c:pt>
                <c:pt idx="7">
                  <c:v>31.8</c:v>
                </c:pt>
                <c:pt idx="8">
                  <c:v>32.549999999999997</c:v>
                </c:pt>
                <c:pt idx="9">
                  <c:v>33.25</c:v>
                </c:pt>
                <c:pt idx="10">
                  <c:v>33.36</c:v>
                </c:pt>
                <c:pt idx="11">
                  <c:v>33.94</c:v>
                </c:pt>
                <c:pt idx="12">
                  <c:v>34.07</c:v>
                </c:pt>
                <c:pt idx="13">
                  <c:v>34.81</c:v>
                </c:pt>
                <c:pt idx="14">
                  <c:v>34.729999999999997</c:v>
                </c:pt>
                <c:pt idx="15">
                  <c:v>34.82</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Tewkesbury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476.8</c:v>
                </c:pt>
                <c:pt idx="1">
                  <c:v>498.2</c:v>
                </c:pt>
                <c:pt idx="2">
                  <c:v>512.9</c:v>
                </c:pt>
                <c:pt idx="3">
                  <c:v>500.1</c:v>
                </c:pt>
                <c:pt idx="4">
                  <c:v>496.9</c:v>
                </c:pt>
                <c:pt idx="5">
                  <c:v>528</c:v>
                </c:pt>
                <c:pt idx="6">
                  <c:v>491.3</c:v>
                </c:pt>
                <c:pt idx="7">
                  <c:v>551.6</c:v>
                </c:pt>
                <c:pt idx="8">
                  <c:v>553.20000000000005</c:v>
                </c:pt>
                <c:pt idx="9">
                  <c:v>608.5</c:v>
                </c:pt>
                <c:pt idx="10">
                  <c:v>613.29999999999995</c:v>
                </c:pt>
                <c:pt idx="11">
                  <c:v>626.29999999999995</c:v>
                </c:pt>
                <c:pt idx="12">
                  <c:v>628.5</c:v>
                </c:pt>
                <c:pt idx="13">
                  <c:v>630</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Tewkesbury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77.8</c:v>
                </c:pt>
                <c:pt idx="1">
                  <c:v>79.3</c:v>
                </c:pt>
                <c:pt idx="2">
                  <c:v>79.900000000000006</c:v>
                </c:pt>
                <c:pt idx="3">
                  <c:v>84.8</c:v>
                </c:pt>
                <c:pt idx="4">
                  <c:v>83.3</c:v>
                </c:pt>
                <c:pt idx="5">
                  <c:v>71.7</c:v>
                </c:pt>
                <c:pt idx="6">
                  <c:v>77.5</c:v>
                </c:pt>
                <c:pt idx="7">
                  <c:v>76.2</c:v>
                </c:pt>
                <c:pt idx="8">
                  <c:v>77.3</c:v>
                </c:pt>
                <c:pt idx="9">
                  <c:v>77.5</c:v>
                </c:pt>
                <c:pt idx="10">
                  <c:v>83.9</c:v>
                </c:pt>
                <c:pt idx="11">
                  <c:v>84.3</c:v>
                </c:pt>
                <c:pt idx="12">
                  <c:v>77.2</c:v>
                </c:pt>
                <c:pt idx="13">
                  <c:v>80.099999999999994</c:v>
                </c:pt>
                <c:pt idx="14">
                  <c:v>85.7</c:v>
                </c:pt>
                <c:pt idx="15">
                  <c:v>79.3</c:v>
                </c:pt>
                <c:pt idx="16">
                  <c:v>82.5</c:v>
                </c:pt>
                <c:pt idx="17">
                  <c:v>73.599999999999994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Tewkesbury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15014</c:v>
                </c:pt>
                <c:pt idx="1">
                  <c:v>16032</c:v>
                </c:pt>
                <c:pt idx="2">
                  <c:v>16815</c:v>
                </c:pt>
                <c:pt idx="3">
                  <c:v>17507</c:v>
                </c:pt>
                <c:pt idx="4">
                  <c:v>18025</c:v>
                </c:pt>
                <c:pt idx="5">
                  <c:v>17974</c:v>
                </c:pt>
                <c:pt idx="6">
                  <c:v>18265</c:v>
                </c:pt>
                <c:pt idx="7">
                  <c:v>18533</c:v>
                </c:pt>
                <c:pt idx="8">
                  <c:v>19078</c:v>
                </c:pt>
                <c:pt idx="9">
                  <c:v>19784</c:v>
                </c:pt>
                <c:pt idx="10">
                  <c:v>20607</c:v>
                </c:pt>
                <c:pt idx="11">
                  <c:v>21482</c:v>
                </c:pt>
                <c:pt idx="12">
                  <c:v>21426</c:v>
                </c:pt>
                <c:pt idx="13">
                  <c:v>21287</c:v>
                </c:pt>
                <c:pt idx="14">
                  <c:v>21728</c:v>
                </c:pt>
                <c:pt idx="15">
                  <c:v>21669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Tewkesbury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15.8</c:v>
                </c:pt>
                <c:pt idx="1">
                  <c:v>20.2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Tewkesbury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20.7</c:v>
                </c:pt>
                <c:pt idx="1">
                  <c:v>19.100000000000001</c:v>
                </c:pt>
                <c:pt idx="2">
                  <c:v>17.2</c:v>
                </c:pt>
                <c:pt idx="3">
                  <c:v>13.3</c:v>
                </c:pt>
                <c:pt idx="4">
                  <c:v>13.4</c:v>
                </c:pt>
                <c:pt idx="5">
                  <c:v>19.5</c:v>
                </c:pt>
                <c:pt idx="6">
                  <c:v>19.399999999999999</c:v>
                </c:pt>
                <c:pt idx="7">
                  <c:v>19.3</c:v>
                </c:pt>
                <c:pt idx="8">
                  <c:v>18</c:v>
                </c:pt>
                <c:pt idx="9">
                  <c:v>19.7</c:v>
                </c:pt>
                <c:pt idx="10">
                  <c:v>12.4</c:v>
                </c:pt>
                <c:pt idx="11">
                  <c:v>11.4</c:v>
                </c:pt>
                <c:pt idx="12">
                  <c:v>19.5</c:v>
                </c:pt>
                <c:pt idx="13">
                  <c:v>18.3</c:v>
                </c:pt>
                <c:pt idx="14">
                  <c:v>13.9</c:v>
                </c:pt>
                <c:pt idx="15">
                  <c:v>17.8</c:v>
                </c:pt>
                <c:pt idx="16">
                  <c:v>12.6</c:v>
                </c:pt>
                <c:pt idx="17">
                  <c:v>20.9</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Tewkesbury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14.700000000000003</c:v>
                </c:pt>
                <c:pt idx="1">
                  <c:v>15.799999999999997</c:v>
                </c:pt>
                <c:pt idx="2">
                  <c:v>19.300000000000004</c:v>
                </c:pt>
                <c:pt idx="3">
                  <c:v>26.4</c:v>
                </c:pt>
                <c:pt idx="4">
                  <c:v>2.9000000000000057</c:v>
                </c:pt>
                <c:pt idx="5">
                  <c:v>8.5999999999999943</c:v>
                </c:pt>
                <c:pt idx="6">
                  <c:v>10</c:v>
                </c:pt>
                <c:pt idx="7">
                  <c:v>30.700000000000003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Tewkesbury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5.4280521566389819</c:v>
                </c:pt>
                <c:pt idx="1">
                  <c:v>13.621624571445848</c:v>
                </c:pt>
                <c:pt idx="2">
                  <c:v>3.6852327187627725</c:v>
                </c:pt>
                <c:pt idx="3">
                  <c:v>0</c:v>
                </c:pt>
                <c:pt idx="4">
                  <c:v>6.6632943869795236</c:v>
                </c:pt>
                <c:pt idx="5">
                  <c:v>11.197307626490218</c:v>
                </c:pt>
                <c:pt idx="6">
                  <c:v>12.691914022517912</c:v>
                </c:pt>
                <c:pt idx="7">
                  <c:v>3.8113852919618862</c:v>
                </c:pt>
                <c:pt idx="8">
                  <c:v>5.6153348621155992</c:v>
                </c:pt>
                <c:pt idx="9">
                  <c:v>4.932285570974754</c:v>
                </c:pt>
                <c:pt idx="10">
                  <c:v>8.7943829711594006</c:v>
                </c:pt>
                <c:pt idx="11">
                  <c:v>9.1443981367982339</c:v>
                </c:pt>
                <c:pt idx="12">
                  <c:v>4.5222423967317296</c:v>
                </c:pt>
                <c:pt idx="13">
                  <c:v>11.291550367926922</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Tewkesbury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55.3</c:v>
                </c:pt>
                <c:pt idx="1">
                  <c:v>53.3</c:v>
                </c:pt>
                <c:pt idx="2">
                  <c:v>50.400000000000006</c:v>
                </c:pt>
                <c:pt idx="3">
                  <c:v>56.1</c:v>
                </c:pt>
                <c:pt idx="4">
                  <c:v>57.900000000000006</c:v>
                </c:pt>
                <c:pt idx="5">
                  <c:v>54.800000000000004</c:v>
                </c:pt>
                <c:pt idx="6">
                  <c:v>52.6</c:v>
                </c:pt>
                <c:pt idx="7">
                  <c:v>67.099999999999994</c:v>
                </c:pt>
                <c:pt idx="8">
                  <c:v>60.499999999999993</c:v>
                </c:pt>
                <c:pt idx="9">
                  <c:v>57.899999999999991</c:v>
                </c:pt>
                <c:pt idx="10">
                  <c:v>55.5</c:v>
                </c:pt>
                <c:pt idx="11">
                  <c:v>53.9</c:v>
                </c:pt>
                <c:pt idx="12">
                  <c:v>60.7</c:v>
                </c:pt>
                <c:pt idx="13">
                  <c:v>51.2</c:v>
                </c:pt>
                <c:pt idx="14">
                  <c:v>57.2</c:v>
                </c:pt>
                <c:pt idx="15">
                  <c:v>64.599999999999994</c:v>
                </c:pt>
                <c:pt idx="16">
                  <c:v>64.8</c:v>
                </c:pt>
                <c:pt idx="17">
                  <c:v>61.100000000000009</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45720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077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Tewkesbury is consistently greater than that for both England and rural from 2004 to 2021 with only two years where it drops below either one or both.</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457200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2192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per head within Tewkesbury from 2004 to 2017 is above both that for England overall and 'Rural as a Region', however it drops below the rural situation in 2018 and drops below both rural and England situations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increasing between 2017 and 2018 for Tewkesbury, it's proportion remained below that seen for both rural and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Tewkesbury's economic inactivity rate has fluctuated over the years but it has consistently been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61</xdr:row>
      <xdr:rowOff>579120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7315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Tewkesbury does not follow the pattern demonstrated by either England or rural.</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Tewkesbury has been relatively unstable but its proportion is in most years below the England and rural average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situation for Tewkesbury from 2004 to 2021 has seen some significant changes year on year thus taking the proportion both above and below the England and rural positions.</a:t>
          </a:r>
          <a:endParaRPr lang="en-GB" sz="1100">
            <a:latin typeface="Avenir Next LT Pro" panose="020B0504020202020204" pitchFamily="34" charset="0"/>
          </a:endParaRPr>
        </a:p>
      </xdr:txBody>
    </xdr:sp>
    <xdr:clientData/>
  </xdr:twoCellAnchor>
  <xdr:twoCellAnchor>
    <xdr:from>
      <xdr:col>0</xdr:col>
      <xdr:colOff>563880</xdr:colOff>
      <xdr:row>12</xdr:row>
      <xdr:rowOff>518160</xdr:rowOff>
    </xdr:from>
    <xdr:to>
      <xdr:col>1</xdr:col>
      <xdr:colOff>2545080</xdr:colOff>
      <xdr:row>14</xdr:row>
      <xdr:rowOff>365760</xdr:rowOff>
    </xdr:to>
    <xdr:sp macro="" textlink="">
      <xdr:nvSpPr>
        <xdr:cNvPr id="20" name="TextBox 19">
          <a:extLst>
            <a:ext uri="{FF2B5EF4-FFF2-40B4-BE49-F238E27FC236}">
              <a16:creationId xmlns:a16="http://schemas.microsoft.com/office/drawing/2014/main" id="{F236DC2B-72BC-4B7D-BA0B-F9EA85F838E2}"/>
            </a:ext>
          </a:extLst>
        </xdr:cNvPr>
        <xdr:cNvSpPr txBox="1"/>
      </xdr:nvSpPr>
      <xdr:spPr>
        <a:xfrm>
          <a:off x="563880" y="3505200"/>
          <a:ext cx="6682740" cy="11430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Tewkesbury increases from it's 2004 position to the 2019 position at an overall lower rate than that of England and thus moves from being greater to being lower.  It is consistently greater than the GVA per hour worked for 'Rural as a Region' but the gap reduces from a high of 26% to the low in 2019 of 14%.</a:t>
          </a:r>
          <a:endParaRPr lang="en-GB" sz="1100">
            <a:latin typeface="Avenir Next LT Pro" panose="020B0504020202020204" pitchFamily="34" charset="0"/>
          </a:endParaRPr>
        </a:p>
      </xdr:txBody>
    </xdr:sp>
    <xdr:clientData/>
  </xdr:twoCellAnchor>
  <xdr:twoCellAnchor>
    <xdr:from>
      <xdr:col>0</xdr:col>
      <xdr:colOff>586740</xdr:colOff>
      <xdr:row>20</xdr:row>
      <xdr:rowOff>632460</xdr:rowOff>
    </xdr:from>
    <xdr:to>
      <xdr:col>1</xdr:col>
      <xdr:colOff>2567940</xdr:colOff>
      <xdr:row>22</xdr:row>
      <xdr:rowOff>320040</xdr:rowOff>
    </xdr:to>
    <xdr:sp macro="" textlink="">
      <xdr:nvSpPr>
        <xdr:cNvPr id="21" name="TextBox 20">
          <a:extLst>
            <a:ext uri="{FF2B5EF4-FFF2-40B4-BE49-F238E27FC236}">
              <a16:creationId xmlns:a16="http://schemas.microsoft.com/office/drawing/2014/main" id="{86089B94-77EB-4470-AAB2-2BFAD4D61608}"/>
            </a:ext>
          </a:extLst>
        </xdr:cNvPr>
        <xdr:cNvSpPr txBox="1"/>
      </xdr:nvSpPr>
      <xdr:spPr>
        <a:xfrm>
          <a:off x="586740" y="7559040"/>
          <a:ext cx="6682740" cy="9829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Tewkesbury has fluctuated a little over the years, has been consistently above the rural situation, but has followed and overtaken the England situation with a greater overall rate of increase from 2008 to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446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Tewkesbury</v>
      </c>
      <c r="G12" s="88" t="str">
        <f>IFERROR(VLOOKUP(F12,GVA!B244:B552,1,FALSE),VLOOKUP(F12,GVA!B6:C230,2,FALSE))</f>
        <v>Tewkesbury</v>
      </c>
      <c r="H12" s="89" t="str">
        <f>IF(F12=G12,"",G12)</f>
        <v/>
      </c>
      <c r="I12" s="76">
        <f>IFERROR(VLOOKUP($F12,GVA!$B$7:$S$230,GVA!D$3,FALSE),VLOOKUP($F12,GVA!$B$244:$T$554,GVA!E$3,FALSE))</f>
        <v>28.45</v>
      </c>
      <c r="J12" s="77">
        <f>IFERROR(VLOOKUP($F12,GVA!$B$7:$S$230,GVA!E$3,FALSE),VLOOKUP($F12,GVA!$B$244:$T$554,GVA!F$3,FALSE))</f>
        <v>28.2</v>
      </c>
      <c r="K12" s="77">
        <f>IFERROR(VLOOKUP($F12,GVA!$B$7:$S$230,GVA!F$3,FALSE),VLOOKUP($F12,GVA!$B$244:$T$554,GVA!G$3,FALSE))</f>
        <v>30.63</v>
      </c>
      <c r="L12" s="77">
        <f>IFERROR(VLOOKUP($F12,GVA!$B$7:$S$230,GVA!G$3,FALSE),VLOOKUP($F12,GVA!$B$244:$T$554,GVA!H$3,FALSE))</f>
        <v>31.28</v>
      </c>
      <c r="M12" s="77">
        <f>IFERROR(VLOOKUP($F12,GVA!$B$7:$S$230,GVA!H$3,FALSE),VLOOKUP($F12,GVA!$B$244:$T$554,GVA!I$3,FALSE))</f>
        <v>31.28</v>
      </c>
      <c r="N12" s="77">
        <f>IFERROR(VLOOKUP($F12,GVA!$B$7:$S$230,GVA!I$3,FALSE),VLOOKUP($F12,GVA!$B$244:$T$554,GVA!J$3,FALSE))</f>
        <v>30.9</v>
      </c>
      <c r="O12" s="77">
        <f>IFERROR(VLOOKUP($F12,GVA!$B$7:$S$230,GVA!J$3,FALSE),VLOOKUP($F12,GVA!$B$244:$T$554,GVA!K$3,FALSE))</f>
        <v>31.14</v>
      </c>
      <c r="P12" s="77">
        <f>IFERROR(VLOOKUP($F12,GVA!$B$7:$S$230,GVA!K$3,FALSE),VLOOKUP($F12,GVA!$B$244:$T$554,GVA!L$3,FALSE))</f>
        <v>31.8</v>
      </c>
      <c r="Q12" s="77">
        <f>IFERROR(VLOOKUP($F12,GVA!$B$7:$S$230,GVA!L$3,FALSE),VLOOKUP($F12,GVA!$B$244:$T$554,GVA!M$3,FALSE))</f>
        <v>32.549999999999997</v>
      </c>
      <c r="R12" s="77">
        <f>IFERROR(VLOOKUP($F12,GVA!$B$7:$S$230,GVA!M$3,FALSE),VLOOKUP($F12,GVA!$B$244:$T$554,GVA!N$3,FALSE))</f>
        <v>33.25</v>
      </c>
      <c r="S12" s="77">
        <f>IFERROR(VLOOKUP($F12,GVA!$B$7:$S$230,GVA!N$3,FALSE),VLOOKUP($F12,GVA!$B$244:$T$554,GVA!O$3,FALSE))</f>
        <v>33.36</v>
      </c>
      <c r="T12" s="77">
        <f>IFERROR(VLOOKUP($F12,GVA!$B$7:$S$230,GVA!O$3,FALSE),VLOOKUP($F12,GVA!$B$244:$T$554,GVA!P$3,FALSE))</f>
        <v>33.94</v>
      </c>
      <c r="U12" s="77">
        <f>IFERROR(VLOOKUP($F12,GVA!$B$7:$S$230,GVA!P$3,FALSE),VLOOKUP($F12,GVA!$B$244:$T$554,GVA!Q$3,FALSE))</f>
        <v>34.07</v>
      </c>
      <c r="V12" s="77">
        <f>IFERROR(VLOOKUP($F12,GVA!$B$7:$S$230,GVA!Q$3,FALSE),VLOOKUP($F12,GVA!$B$244:$T$554,GVA!R$3,FALSE))</f>
        <v>34.81</v>
      </c>
      <c r="W12" s="77">
        <f>IFERROR(VLOOKUP($F12,GVA!$B$7:$S$230,GVA!R$3,FALSE),VLOOKUP($F12,GVA!$B$244:$T$554,GVA!S$3,FALSE))</f>
        <v>34.729999999999997</v>
      </c>
      <c r="X12" s="77">
        <f>IFERROR(VLOOKUP($F12,GVA!$B$7:$S$230,GVA!S$3,FALSE),VLOOKUP($F12,GVA!$B$244:$T$554,GVA!T$3,FALSE))</f>
        <v>34.82</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Tewkesbury to Rural as a Region</v>
      </c>
      <c r="G15" s="122"/>
      <c r="H15" s="123"/>
      <c r="I15" s="74">
        <f>100*((I12-I13)/I13)</f>
        <v>20.857502642398796</v>
      </c>
      <c r="J15" s="74">
        <f t="shared" ref="J15:X15" si="0">100*((J12-J13)/J13)</f>
        <v>20.129013935939298</v>
      </c>
      <c r="K15" s="74">
        <f t="shared" si="0"/>
        <v>26.029007656022614</v>
      </c>
      <c r="L15" s="74">
        <f t="shared" si="0"/>
        <v>25.933168459193627</v>
      </c>
      <c r="M15" s="74">
        <f t="shared" si="0"/>
        <v>23.809389180249102</v>
      </c>
      <c r="N15" s="74">
        <f t="shared" si="0"/>
        <v>21.306158311173</v>
      </c>
      <c r="O15" s="74">
        <f t="shared" si="0"/>
        <v>20.743917244053453</v>
      </c>
      <c r="P15" s="74">
        <f t="shared" si="0"/>
        <v>21.491629030277419</v>
      </c>
      <c r="Q15" s="74">
        <f t="shared" si="0"/>
        <v>21.861211391897285</v>
      </c>
      <c r="R15" s="74">
        <f t="shared" si="0"/>
        <v>22.359930080039902</v>
      </c>
      <c r="S15" s="74">
        <f t="shared" si="0"/>
        <v>20.761742233254427</v>
      </c>
      <c r="T15" s="74">
        <f t="shared" si="0"/>
        <v>20.576542437109854</v>
      </c>
      <c r="U15" s="74">
        <f t="shared" si="0"/>
        <v>18.146727710326122</v>
      </c>
      <c r="V15" s="74">
        <f t="shared" si="0"/>
        <v>17.518638345758919</v>
      </c>
      <c r="W15" s="74">
        <f t="shared" si="0"/>
        <v>14.86913757190845</v>
      </c>
      <c r="X15" s="74">
        <f t="shared" si="0"/>
        <v>13.972201331873372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Tewkesbury</v>
      </c>
      <c r="G20" s="88"/>
      <c r="H20" s="89"/>
      <c r="I20" s="80">
        <f>IF(VLOOKUP($F20,PAY!$A$11:$AE$349,4,FALSE)="-",#N/A,VLOOKUP($F20,PAY!$A$11:$AE$349,4,FALSE))</f>
        <v>476.8</v>
      </c>
      <c r="J20" s="80">
        <f>IF(VLOOKUP($F20,PAY!$A$11:$AE$349,6,FALSE)="-",#N/A,VLOOKUP($F20,PAY!$A$11:$AE$349,6,FALSE))</f>
        <v>498.2</v>
      </c>
      <c r="K20" s="80">
        <f>IF(VLOOKUP($F20,PAY!$A$11:$AE$349,8,FALSE)="-",#N/A,VLOOKUP($F20,PAY!$A$11:$AE$349,8,FALSE))</f>
        <v>512.9</v>
      </c>
      <c r="L20" s="80">
        <f>IF(VLOOKUP($F20,PAY!$A$11:$AE$349,10,FALSE)="-",#N/A,VLOOKUP($F20,PAY!$A$11:$AE$349,10,FALSE))</f>
        <v>500.1</v>
      </c>
      <c r="M20" s="80">
        <f>IF(VLOOKUP($F20,PAY!$A$11:$AE$349,12,FALSE)="-",#N/A,VLOOKUP($F20,PAY!$A$11:$AE$349,12,FALSE))</f>
        <v>496.9</v>
      </c>
      <c r="N20" s="80">
        <f>IF(VLOOKUP($F20,PAY!$A$11:$AE$349,14,FALSE)="-",#N/A,VLOOKUP($F20,PAY!$A$11:$AE$349,14,FALSE))</f>
        <v>528</v>
      </c>
      <c r="O20" s="80">
        <f>IF(VLOOKUP($F20,PAY!$A$11:$AE$349,16,FALSE)="-",#N/A,VLOOKUP($F20,PAY!$A$11:$AE$349,16,FALSE))</f>
        <v>491.3</v>
      </c>
      <c r="P20" s="80">
        <f>IF(VLOOKUP($F20,PAY!$A$11:$AE$349,18,FALSE)="-",#N/A,VLOOKUP($F20,PAY!$A$11:$AE$349,18,FALSE))</f>
        <v>551.6</v>
      </c>
      <c r="Q20" s="80">
        <f>IF(VLOOKUP($F20,PAY!$A$11:$AE$349,20,FALSE)="-",#N/A,VLOOKUP($F20,PAY!$A$11:$AE$349,20,FALSE))</f>
        <v>553.20000000000005</v>
      </c>
      <c r="R20" s="80">
        <f>IF(VLOOKUP($F20,PAY!$A$11:$AE$349,22,FALSE)="-",#N/A,VLOOKUP($F20,PAY!$A$11:$AE$349,22,FALSE))</f>
        <v>608.5</v>
      </c>
      <c r="S20" s="80">
        <f>IF(VLOOKUP($F20,PAY!$A$11:$AE$349,24,FALSE)="-",#N/A,VLOOKUP($F20,PAY!$A$11:$AE$349,24,FALSE))</f>
        <v>613.29999999999995</v>
      </c>
      <c r="T20" s="80">
        <f>IF(VLOOKUP($F20,PAY!$A$11:$AE$349,26,FALSE)="-",#N/A,VLOOKUP($F20,PAY!$A$11:$AE$349,26,FALSE))</f>
        <v>626.29999999999995</v>
      </c>
      <c r="U20" s="80">
        <f>IF(VLOOKUP($F20,PAY!$A$11:$AE$349,28,FALSE)="-",#N/A,VLOOKUP($F20,PAY!$A$11:$AE$349,28,FALSE))</f>
        <v>628.5</v>
      </c>
      <c r="V20" s="80">
        <f>IF(VLOOKUP($F20,PAY!$A$11:$AE$349,30,FALSE)="-",#N/A,VLOOKUP($F20,PAY!$A$11:$AE$349,30,FALSE))</f>
        <v>630</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Tewkesbury to Rural as a Region</v>
      </c>
      <c r="G23" s="122"/>
      <c r="H23" s="123"/>
      <c r="I23" s="74">
        <f>100*((I20-I21)/I21)</f>
        <v>10.11740493007157</v>
      </c>
      <c r="J23" s="74">
        <f t="shared" ref="J23:V23" si="2">100*((J20-J21)/J21)</f>
        <v>14.024146020484061</v>
      </c>
      <c r="K23" s="74">
        <f t="shared" si="2"/>
        <v>14.457824518585651</v>
      </c>
      <c r="L23" s="74">
        <f t="shared" si="2"/>
        <v>10.972259673722554</v>
      </c>
      <c r="M23" s="74">
        <f t="shared" si="2"/>
        <v>9.150488541382801</v>
      </c>
      <c r="N23" s="74">
        <f t="shared" si="2"/>
        <v>13.996490902034949</v>
      </c>
      <c r="O23" s="74">
        <f t="shared" si="2"/>
        <v>4.3537294251130616</v>
      </c>
      <c r="P23" s="74">
        <f t="shared" si="2"/>
        <v>16.169966596375986</v>
      </c>
      <c r="Q23" s="74">
        <f t="shared" si="2"/>
        <v>13.017370458583205</v>
      </c>
      <c r="R23" s="74">
        <f t="shared" si="2"/>
        <v>20.720483168217413</v>
      </c>
      <c r="S23" s="74">
        <f t="shared" si="2"/>
        <v>19.220347581602972</v>
      </c>
      <c r="T23" s="74">
        <f t="shared" si="2"/>
        <v>17.35083324596761</v>
      </c>
      <c r="U23" s="74">
        <f t="shared" si="2"/>
        <v>18.350840574449307</v>
      </c>
      <c r="V23" s="74">
        <f t="shared" si="2"/>
        <v>11.651801823923641</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Tewkesbury</v>
      </c>
      <c r="G28" s="88"/>
      <c r="H28" s="89"/>
      <c r="I28" s="76">
        <f>VLOOKUP($F28,EMPLOYMENT!$A$6:$BW$345,6,FALSE)</f>
        <v>77.8</v>
      </c>
      <c r="J28" s="77">
        <f>VLOOKUP($F28,EMPLOYMENT!$A$6:$BW$345,10,FALSE)</f>
        <v>79.3</v>
      </c>
      <c r="K28" s="77">
        <f>VLOOKUP($F28,EMPLOYMENT!$A$6:$BW$345,14,FALSE)</f>
        <v>79.900000000000006</v>
      </c>
      <c r="L28" s="77">
        <f>VLOOKUP($F28,EMPLOYMENT!$A$6:$BW$345,18,FALSE)</f>
        <v>84.8</v>
      </c>
      <c r="M28" s="77">
        <f>VLOOKUP($F28,EMPLOYMENT!$A$6:$BW$345,22,FALSE)</f>
        <v>83.3</v>
      </c>
      <c r="N28" s="77">
        <f>VLOOKUP($F28,EMPLOYMENT!$A$6:$BW$345,26,FALSE)</f>
        <v>71.7</v>
      </c>
      <c r="O28" s="77">
        <f>VLOOKUP($F28,EMPLOYMENT!$A$6:$BW$345,30,FALSE)</f>
        <v>77.5</v>
      </c>
      <c r="P28" s="77">
        <f>VLOOKUP($F28,EMPLOYMENT!$A$6:$BW$345,34,FALSE)</f>
        <v>76.2</v>
      </c>
      <c r="Q28" s="77">
        <f>VLOOKUP($F28,EMPLOYMENT!$A$6:$BW$345,38,FALSE)</f>
        <v>77.3</v>
      </c>
      <c r="R28" s="77">
        <f>VLOOKUP($F28,EMPLOYMENT!$A$6:$BW$345,42,FALSE)</f>
        <v>77.5</v>
      </c>
      <c r="S28" s="77">
        <f>VLOOKUP($F28,EMPLOYMENT!$A$6:$BW$345,46,FALSE)</f>
        <v>83.9</v>
      </c>
      <c r="T28" s="77">
        <f>VLOOKUP($F28,EMPLOYMENT!$A$6:$BW$345,50,FALSE)</f>
        <v>84.3</v>
      </c>
      <c r="U28" s="77">
        <f>VLOOKUP($F28,EMPLOYMENT!$A$6:$BW$345,54,FALSE)</f>
        <v>77.2</v>
      </c>
      <c r="V28" s="77">
        <f>VLOOKUP($F28,EMPLOYMENT!$A$6:$BW$345,58,FALSE)</f>
        <v>80.099999999999994</v>
      </c>
      <c r="W28" s="77">
        <f>VLOOKUP($F28,EMPLOYMENT!$A$6:$BW$345,62,FALSE)</f>
        <v>85.7</v>
      </c>
      <c r="X28" s="77">
        <f>VLOOKUP($F28,EMPLOYMENT!$A$6:$BW$345,66,FALSE)</f>
        <v>79.3</v>
      </c>
      <c r="Y28" s="77">
        <f>VLOOKUP($F28,EMPLOYMENT!$A$6:$BW$345,70,FALSE)</f>
        <v>82.5</v>
      </c>
      <c r="Z28" s="77">
        <f>VLOOKUP($F28,EMPLOYMENT!$A$6:$BW$345,74,FALSE)</f>
        <v>73.599999999999994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Tewkesbury to Rural as a Region</v>
      </c>
      <c r="G31" s="122"/>
      <c r="H31" s="123"/>
      <c r="I31" s="74">
        <f>(I28-I29)</f>
        <v>1.6886580805982589</v>
      </c>
      <c r="J31" s="74">
        <f t="shared" ref="J31:Z31" si="4">(J28-J29)</f>
        <v>2.9870245333170402</v>
      </c>
      <c r="K31" s="74">
        <f t="shared" si="4"/>
        <v>4.0268111005132425</v>
      </c>
      <c r="L31" s="74">
        <f t="shared" si="4"/>
        <v>9.1595316973721594</v>
      </c>
      <c r="M31" s="74">
        <f t="shared" si="4"/>
        <v>7.5644756266682549</v>
      </c>
      <c r="N31" s="74">
        <f t="shared" si="4"/>
        <v>-2.8095398428731784</v>
      </c>
      <c r="O31" s="74">
        <f t="shared" si="4"/>
        <v>3.952866861030131</v>
      </c>
      <c r="P31" s="74">
        <f t="shared" si="4"/>
        <v>2.4657045967223894</v>
      </c>
      <c r="Q31" s="74">
        <f t="shared" si="4"/>
        <v>3.2668425245374237</v>
      </c>
      <c r="R31" s="74">
        <f t="shared" si="4"/>
        <v>2.7555250700997931</v>
      </c>
      <c r="S31" s="74">
        <f t="shared" si="4"/>
        <v>7.7911396599243972</v>
      </c>
      <c r="T31" s="74">
        <f t="shared" si="4"/>
        <v>7.1094680243909778</v>
      </c>
      <c r="U31" s="74">
        <f t="shared" si="4"/>
        <v>0.22836751829196089</v>
      </c>
      <c r="V31" s="74">
        <f t="shared" si="4"/>
        <v>2.0672131147540966</v>
      </c>
      <c r="W31" s="74">
        <f t="shared" si="4"/>
        <v>7.6518431065858579</v>
      </c>
      <c r="X31" s="74">
        <f t="shared" si="4"/>
        <v>0.70870062104329179</v>
      </c>
      <c r="Y31" s="74">
        <f t="shared" si="4"/>
        <v>5.4856537038707955</v>
      </c>
      <c r="Z31" s="74">
        <f t="shared" si="4"/>
        <v>-2.5557580778790481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Tewkesbury</v>
      </c>
      <c r="G36" s="88" t="str">
        <f>IFERROR(VLOOKUP(F36,GDHI!B338:C574,2,FALSE),VLOOKUP(F36,GDHI!C3:C336,1,FALSE))</f>
        <v>Tewkesbury</v>
      </c>
      <c r="H36" s="89" t="str">
        <f>IF(F36=G36,"",G36)</f>
        <v/>
      </c>
      <c r="I36" s="83">
        <f>IFERROR(VLOOKUP($F36,GDHI!$B$338:$U$574,GDHI!G$578,FALSE),VLOOKUP($F36,GDHI!$C$3:$U$336,GDHI!F$578,FALSE))</f>
        <v>15014</v>
      </c>
      <c r="J36" s="84">
        <f>IFERROR(VLOOKUP($F36,GDHI!$B$338:$U$574,GDHI!H$578,FALSE),VLOOKUP($F36,GDHI!$C$3:$U$336,GDHI!G$578,FALSE))</f>
        <v>16032</v>
      </c>
      <c r="K36" s="84">
        <f>IFERROR(VLOOKUP($F36,GDHI!$B$338:$U$574,GDHI!I$578,FALSE),VLOOKUP($F36,GDHI!$C$3:$U$336,GDHI!H$578,FALSE))</f>
        <v>16815</v>
      </c>
      <c r="L36" s="84">
        <f>IFERROR(VLOOKUP($F36,GDHI!$B$338:$U$574,GDHI!J$578,FALSE),VLOOKUP($F36,GDHI!$C$3:$U$336,GDHI!I$578,FALSE))</f>
        <v>17507</v>
      </c>
      <c r="M36" s="84">
        <f>IFERROR(VLOOKUP($F36,GDHI!$B$338:$U$574,GDHI!K$578,FALSE),VLOOKUP($F36,GDHI!$C$3:$U$336,GDHI!J$578,FALSE))</f>
        <v>18025</v>
      </c>
      <c r="N36" s="84">
        <f>IFERROR(VLOOKUP($F36,GDHI!$B$338:$U$574,GDHI!L$578,FALSE),VLOOKUP($F36,GDHI!$C$3:$U$336,GDHI!K$578,FALSE))</f>
        <v>17974</v>
      </c>
      <c r="O36" s="84">
        <f>IFERROR(VLOOKUP($F36,GDHI!$B$338:$U$574,GDHI!M$578,FALSE),VLOOKUP($F36,GDHI!$C$3:$U$336,GDHI!L$578,FALSE))</f>
        <v>18265</v>
      </c>
      <c r="P36" s="84">
        <f>IFERROR(VLOOKUP($F36,GDHI!$B$338:$U$574,GDHI!N$578,FALSE),VLOOKUP($F36,GDHI!$C$3:$U$336,GDHI!M$578,FALSE))</f>
        <v>18533</v>
      </c>
      <c r="Q36" s="84">
        <f>IFERROR(VLOOKUP($F36,GDHI!$B$338:$U$574,GDHI!O$578,FALSE),VLOOKUP($F36,GDHI!$C$3:$U$336,GDHI!N$578,FALSE))</f>
        <v>19078</v>
      </c>
      <c r="R36" s="84">
        <f>IFERROR(VLOOKUP($F36,GDHI!$B$338:$U$574,GDHI!P$578,FALSE),VLOOKUP($F36,GDHI!$C$3:$U$336,GDHI!O$578,FALSE))</f>
        <v>19784</v>
      </c>
      <c r="S36" s="84">
        <f>IFERROR(VLOOKUP($F36,GDHI!$B$338:$U$574,GDHI!Q$578,FALSE),VLOOKUP($F36,GDHI!$C$3:$U$336,GDHI!P$578,FALSE))</f>
        <v>20607</v>
      </c>
      <c r="T36" s="84">
        <f>IFERROR(VLOOKUP($F36,GDHI!$B$338:$U$574,GDHI!R$578,FALSE),VLOOKUP($F36,GDHI!$C$3:$U$336,GDHI!Q$578,FALSE))</f>
        <v>21482</v>
      </c>
      <c r="U36" s="84">
        <f>IFERROR(VLOOKUP($F36,GDHI!$B$338:$U$574,GDHI!S$578,FALSE),VLOOKUP($F36,GDHI!$C$3:$U$336,GDHI!R$578,FALSE))</f>
        <v>21426</v>
      </c>
      <c r="V36" s="84">
        <f>IFERROR(VLOOKUP($F36,GDHI!$B$338:$U$574,GDHI!T$578,FALSE),VLOOKUP($F36,GDHI!$C$3:$U$336,GDHI!S$578,FALSE))</f>
        <v>21287</v>
      </c>
      <c r="W36" s="84">
        <f>IFERROR(VLOOKUP($F36,GDHI!$B$338:$U$574,GDHI!U$578,FALSE),VLOOKUP($F36,GDHI!$C$3:$U$336,GDHI!T$578,FALSE))</f>
        <v>21728</v>
      </c>
      <c r="X36" s="84">
        <f>IFERROR(VLOOKUP($F36,GDHI!$B$338:$U$574,GDHI!V$578,FALSE),VLOOKUP($F36,GDHI!$C$3:$U$336,GDHI!U$578,FALSE))</f>
        <v>21669</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Tewkesbury to Rural as a Region</v>
      </c>
      <c r="G39" s="122"/>
      <c r="H39" s="123"/>
      <c r="I39" s="74">
        <f>100*((I36-I37)/I37)</f>
        <v>2.0700907576736123</v>
      </c>
      <c r="J39" s="74">
        <f t="shared" ref="J39:X39" si="6">100*((J36-J37)/J37)</f>
        <v>4.501269127115239</v>
      </c>
      <c r="K39" s="74">
        <f t="shared" si="6"/>
        <v>5.5941436763950652</v>
      </c>
      <c r="L39" s="74">
        <f t="shared" si="6"/>
        <v>5.6664130249682527</v>
      </c>
      <c r="M39" s="74">
        <f t="shared" si="6"/>
        <v>5.635645280233426</v>
      </c>
      <c r="N39" s="74">
        <f t="shared" si="6"/>
        <v>3.9385104691227064</v>
      </c>
      <c r="O39" s="74">
        <f t="shared" si="6"/>
        <v>4.3242342749708396</v>
      </c>
      <c r="P39" s="74">
        <f t="shared" si="6"/>
        <v>4.1176989895693206</v>
      </c>
      <c r="Q39" s="74">
        <f t="shared" si="6"/>
        <v>3.8747088037522111</v>
      </c>
      <c r="R39" s="74">
        <f t="shared" si="6"/>
        <v>4.8217780752120385</v>
      </c>
      <c r="S39" s="74">
        <f t="shared" si="6"/>
        <v>6.2433597439830333</v>
      </c>
      <c r="T39" s="74">
        <f t="shared" si="6"/>
        <v>5.0035437840631047</v>
      </c>
      <c r="U39" s="74">
        <f t="shared" si="6"/>
        <v>3.8841160594103683</v>
      </c>
      <c r="V39" s="74">
        <f t="shared" si="6"/>
        <v>1.5335293092219007</v>
      </c>
      <c r="W39" s="74">
        <f t="shared" si="6"/>
        <v>-0.52138802802393303</v>
      </c>
      <c r="X39" s="74">
        <f t="shared" si="6"/>
        <v>-2.6774194755733336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Tewkesbury</v>
      </c>
      <c r="G44" s="88"/>
      <c r="H44" s="89"/>
      <c r="I44" s="76">
        <f>VLOOKUP($F44,'LOW PAID'!$A$9:$N$444,6,FALSE)</f>
        <v>15.8</v>
      </c>
      <c r="J44" s="77">
        <f>VLOOKUP($F44,'LOW PAID'!$P$9:$W$444,6,FALSE)</f>
        <v>20.2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Tewkesbury to Rural as a Region</v>
      </c>
      <c r="G47" s="122"/>
      <c r="H47" s="123"/>
      <c r="I47" s="74">
        <f>(I44-I45)</f>
        <v>-9.3938746782131162</v>
      </c>
      <c r="J47" s="74">
        <f>(J44-J45)</f>
        <v>-5.4861165090300545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Tewkesbury</v>
      </c>
      <c r="G52" s="88"/>
      <c r="H52" s="89"/>
      <c r="I52" s="76">
        <f>VLOOKUP($F52,INACTIVITY!$A$6:$BW$345,6,FALSE)</f>
        <v>20.7</v>
      </c>
      <c r="J52" s="77">
        <f>VLOOKUP($F52,INACTIVITY!$A$6:$BW$345,10,FALSE)</f>
        <v>19.100000000000001</v>
      </c>
      <c r="K52" s="77">
        <f>VLOOKUP($F52,INACTIVITY!$A$6:$BW$345,14,FALSE)</f>
        <v>17.2</v>
      </c>
      <c r="L52" s="77">
        <f>VLOOKUP($F52,INACTIVITY!$A$6:$BW$345,18,FALSE)</f>
        <v>13.3</v>
      </c>
      <c r="M52" s="77">
        <f>VLOOKUP($F52,INACTIVITY!$A$6:$BW$345,22,FALSE)</f>
        <v>13.4</v>
      </c>
      <c r="N52" s="77">
        <f>VLOOKUP($F52,INACTIVITY!$A$6:$BW$345,26,FALSE)</f>
        <v>19.5</v>
      </c>
      <c r="O52" s="77">
        <f>VLOOKUP($F52,INACTIVITY!$A$6:$BW$345,30,FALSE)</f>
        <v>19.399999999999999</v>
      </c>
      <c r="P52" s="77">
        <f>VLOOKUP($F52,INACTIVITY!$A$6:$BW$345,34,FALSE)</f>
        <v>19.3</v>
      </c>
      <c r="Q52" s="77">
        <f>VLOOKUP($F52,INACTIVITY!$A$6:$BW$345,38,FALSE)</f>
        <v>18</v>
      </c>
      <c r="R52" s="77">
        <f>VLOOKUP($F52,INACTIVITY!$A$6:$BW$345,42,FALSE)</f>
        <v>19.7</v>
      </c>
      <c r="S52" s="77">
        <f>VLOOKUP($F52,INACTIVITY!$A$6:$BW$345,46,FALSE)</f>
        <v>12.4</v>
      </c>
      <c r="T52" s="77">
        <f>VLOOKUP($F52,INACTIVITY!$A$6:$BW$345,50,FALSE)</f>
        <v>11.4</v>
      </c>
      <c r="U52" s="77">
        <f>VLOOKUP($F52,INACTIVITY!$A$6:$BW$345,54,FALSE)</f>
        <v>19.5</v>
      </c>
      <c r="V52" s="77">
        <f>VLOOKUP($F52,INACTIVITY!$A$6:$BW$345,58,FALSE)</f>
        <v>18.3</v>
      </c>
      <c r="W52" s="77">
        <f>VLOOKUP($F52,INACTIVITY!$A$6:$BW$345,62,FALSE)</f>
        <v>13.9</v>
      </c>
      <c r="X52" s="77">
        <f>VLOOKUP($F52,INACTIVITY!$A$6:$BW$345,66,FALSE)</f>
        <v>17.8</v>
      </c>
      <c r="Y52" s="77">
        <f>VLOOKUP($F52,INACTIVITY!$A$6:$BW$345,70,FALSE)</f>
        <v>12.6</v>
      </c>
      <c r="Z52" s="77">
        <f>VLOOKUP($F52,INACTIVITY!$A$6:$BW$345,74,FALSE)</f>
        <v>20.9</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Tewkesbury to Rural as a Region</v>
      </c>
      <c r="G55" s="122"/>
      <c r="H55" s="123"/>
      <c r="I55" s="74">
        <f>(I52-I53)</f>
        <v>-0.69564457161023796</v>
      </c>
      <c r="J55" s="74">
        <f t="shared" ref="J55:Z55" si="10">(J52-J53)</f>
        <v>-1.9085227272727252</v>
      </c>
      <c r="K55" s="74">
        <f t="shared" si="10"/>
        <v>-3.6624653934587776</v>
      </c>
      <c r="L55" s="74">
        <f t="shared" si="10"/>
        <v>-8.0140653315366386</v>
      </c>
      <c r="M55" s="74">
        <f t="shared" si="10"/>
        <v>-7.4350023108920045</v>
      </c>
      <c r="N55" s="74">
        <f t="shared" si="10"/>
        <v>-1.4331437579204405</v>
      </c>
      <c r="O55" s="74">
        <f t="shared" si="10"/>
        <v>-2.2919371275051752</v>
      </c>
      <c r="P55" s="74">
        <f t="shared" si="10"/>
        <v>-2.1942457807534481</v>
      </c>
      <c r="Q55" s="74">
        <f t="shared" si="10"/>
        <v>-3.1825487944890938</v>
      </c>
      <c r="R55" s="74">
        <f t="shared" si="10"/>
        <v>-1.0745930974387718</v>
      </c>
      <c r="S55" s="74">
        <f t="shared" si="10"/>
        <v>-7.8732104559723997</v>
      </c>
      <c r="T55" s="74">
        <f t="shared" si="10"/>
        <v>-8.2961946834069575</v>
      </c>
      <c r="U55" s="74">
        <f t="shared" si="10"/>
        <v>-0.35242934706947082</v>
      </c>
      <c r="V55" s="74">
        <f t="shared" si="10"/>
        <v>-0.95327733428037575</v>
      </c>
      <c r="W55" s="74">
        <f t="shared" si="10"/>
        <v>-5.2769560091828485</v>
      </c>
      <c r="X55" s="74">
        <f t="shared" si="10"/>
        <v>-1.0520649493649294</v>
      </c>
      <c r="Y55" s="74">
        <f t="shared" si="10"/>
        <v>-7.1725827218714624</v>
      </c>
      <c r="Z55" s="74">
        <f t="shared" si="10"/>
        <v>-0.18517977563007193</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Tewkesbury</v>
      </c>
      <c r="G60" s="88"/>
      <c r="H60" s="89"/>
      <c r="I60" s="76">
        <f>VLOOKUP($F60,DISABILITY!$A$718:$I$1052,DISABILITY!B$1053,FALSE)</f>
        <v>14.700000000000003</v>
      </c>
      <c r="J60" s="77">
        <f>VLOOKUP($F60,DISABILITY!$A$718:$I$1052,DISABILITY!C$1053,FALSE)</f>
        <v>15.799999999999997</v>
      </c>
      <c r="K60" s="77">
        <f>VLOOKUP($F60,DISABILITY!$A$718:$I$1052,DISABILITY!D$1053,FALSE)</f>
        <v>19.300000000000004</v>
      </c>
      <c r="L60" s="77">
        <f>VLOOKUP($F60,DISABILITY!$A$718:$I$1052,DISABILITY!E$1053,FALSE)</f>
        <v>26.4</v>
      </c>
      <c r="M60" s="77">
        <f>VLOOKUP($F60,DISABILITY!$A$718:$I$1052,DISABILITY!F$1053,FALSE)</f>
        <v>2.9000000000000057</v>
      </c>
      <c r="N60" s="77">
        <f>VLOOKUP($F60,DISABILITY!$A$718:$I$1052,DISABILITY!G$1053,FALSE)</f>
        <v>8.5999999999999943</v>
      </c>
      <c r="O60" s="77">
        <f>VLOOKUP($F60,DISABILITY!$A$718:$I$1052,DISABILITY!H$1053,FALSE)</f>
        <v>10</v>
      </c>
      <c r="P60" s="77">
        <f>VLOOKUP($F60,DISABILITY!$A$718:$I$1052,DISABILITY!I$1053,FALSE)</f>
        <v>30.700000000000003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Tewkesbury to Rural as a Region</v>
      </c>
      <c r="G63" s="122"/>
      <c r="H63" s="123"/>
      <c r="I63" s="74">
        <f>(I60-I61)</f>
        <v>-12.720156540647245</v>
      </c>
      <c r="J63" s="74">
        <f t="shared" ref="J63:P63" si="12">(J60-J61)</f>
        <v>-11.51904440705119</v>
      </c>
      <c r="K63" s="74">
        <f t="shared" si="12"/>
        <v>-8.8191283614982012</v>
      </c>
      <c r="L63" s="74">
        <f t="shared" si="12"/>
        <v>0.40906546100332264</v>
      </c>
      <c r="M63" s="74">
        <f t="shared" si="12"/>
        <v>-22.575225818666112</v>
      </c>
      <c r="N63" s="74">
        <f t="shared" si="12"/>
        <v>-16.931247685441988</v>
      </c>
      <c r="O63" s="74">
        <f t="shared" si="12"/>
        <v>-13.797222287996945</v>
      </c>
      <c r="P63" s="74">
        <f t="shared" si="12"/>
        <v>5.345822069657828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Tewkesbury</v>
      </c>
      <c r="G68" s="88"/>
      <c r="H68" s="89"/>
      <c r="I68" s="76">
        <f>VLOOKUP($F68,'WORKLESS HOUSEHOLDS'!$DW$4:$EC$397,7,FALSE)</f>
        <v>5.4280521566389819</v>
      </c>
      <c r="J68" s="77">
        <f>VLOOKUP($F68,'WORKLESS HOUSEHOLDS'!$DN$4:$DT$397,7,FALSE)</f>
        <v>13.621624571445848</v>
      </c>
      <c r="K68" s="77">
        <f>VLOOKUP($F68,'WORKLESS HOUSEHOLDS'!$DE$4:$DK$397,7,FALSE)</f>
        <v>3.6852327187627725</v>
      </c>
      <c r="L68" s="77" t="str">
        <f>VLOOKUP($F68,'WORKLESS HOUSEHOLDS'!$CV$4:$DB$397,7,FALSE)</f>
        <v>*</v>
      </c>
      <c r="M68" s="77">
        <f>VLOOKUP($F68,'WORKLESS HOUSEHOLDS'!$CM$4:$CS$397,7,FALSE)</f>
        <v>6.6632943869795236</v>
      </c>
      <c r="N68" s="77">
        <f>VLOOKUP($F68,'WORKLESS HOUSEHOLDS'!$CD$4:$CJ$397,7,FALSE)</f>
        <v>11.197307626490218</v>
      </c>
      <c r="O68" s="77">
        <f>VLOOKUP($F68,'WORKLESS HOUSEHOLDS'!$BU$4:$CA$397,7,FALSE)</f>
        <v>12.691914022517912</v>
      </c>
      <c r="P68" s="77">
        <f>VLOOKUP($F68,'WORKLESS HOUSEHOLDS'!$BL$4:$BR$397,7,FALSE)</f>
        <v>3.8113852919618862</v>
      </c>
      <c r="Q68" s="77">
        <f>VLOOKUP($F68,'WORKLESS HOUSEHOLDS'!$BC$4:$BI$397,7,FALSE)</f>
        <v>5.6153348621155992</v>
      </c>
      <c r="R68" s="77">
        <f>VLOOKUP($F68,'WORKLESS HOUSEHOLDS'!$AT$4:$AZ$397,7,FALSE)</f>
        <v>4.932285570974754</v>
      </c>
      <c r="S68" s="77">
        <f>VLOOKUP($F68,'WORKLESS HOUSEHOLDS'!$AK$4:$AQ$397,7,FALSE)</f>
        <v>8.7943829711594006</v>
      </c>
      <c r="T68" s="77">
        <f>VLOOKUP($F68,'WORKLESS HOUSEHOLDS'!$AB$4:$AH$397,7,FALSE)</f>
        <v>9.1443981367982339</v>
      </c>
      <c r="U68" s="77">
        <f>VLOOKUP($F68,'WORKLESS HOUSEHOLDS'!$S$4:$Y$397,7,FALSE)</f>
        <v>4.5222423967317296</v>
      </c>
      <c r="V68" s="77">
        <f>VLOOKUP($F68,'WORKLESS HOUSEHOLDS'!$J$4:$P$397,7,FALSE)</f>
        <v>11.291550367926922</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Tewkesbury to Rural as a Region</v>
      </c>
      <c r="G71" s="122"/>
      <c r="H71" s="123"/>
      <c r="I71" s="74">
        <f>(I68-I69)</f>
        <v>-4.583893705947709</v>
      </c>
      <c r="J71" s="74">
        <f t="shared" ref="J71:W71" si="14">(J68-J69)</f>
        <v>2.7104697339708235</v>
      </c>
      <c r="K71" s="74">
        <f t="shared" si="14"/>
        <v>-6.608013010393071</v>
      </c>
      <c r="L71" s="74" t="e">
        <f t="shared" si="14"/>
        <v>#VALUE!</v>
      </c>
      <c r="M71" s="74">
        <f t="shared" si="14"/>
        <v>-5.0304847942089497</v>
      </c>
      <c r="N71" s="74">
        <f t="shared" si="14"/>
        <v>-0.70379205276516288</v>
      </c>
      <c r="O71" s="74">
        <f t="shared" si="14"/>
        <v>1.6566607747753999</v>
      </c>
      <c r="P71" s="74">
        <f t="shared" si="14"/>
        <v>-5.8801125938059515</v>
      </c>
      <c r="Q71" s="74">
        <f t="shared" si="14"/>
        <v>-5.1898433982828127</v>
      </c>
      <c r="R71" s="74">
        <f t="shared" si="14"/>
        <v>-5.7738107527547999</v>
      </c>
      <c r="S71" s="74">
        <f t="shared" si="14"/>
        <v>-1.3583618569894806</v>
      </c>
      <c r="T71" s="74">
        <f t="shared" si="14"/>
        <v>-0.75927005783451662</v>
      </c>
      <c r="U71" s="74">
        <f t="shared" si="14"/>
        <v>-6.2398077679477462</v>
      </c>
      <c r="V71" s="74">
        <f t="shared" si="14"/>
        <v>1.3526818913872738</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Tewkesbury</v>
      </c>
      <c r="G76" s="88"/>
      <c r="H76" s="89"/>
      <c r="I76" s="76">
        <f>VLOOKUP($F76,'SKILLED EMPLOYMENT'!$A$1506:$BW$1841,6,FALSE)</f>
        <v>55.3</v>
      </c>
      <c r="J76" s="77">
        <f>VLOOKUP($F76,'SKILLED EMPLOYMENT'!$A$1506:$BW$1841,10,FALSE)</f>
        <v>53.3</v>
      </c>
      <c r="K76" s="77">
        <f>VLOOKUP($F76,'SKILLED EMPLOYMENT'!$A$1506:$BW$1841,14,FALSE)</f>
        <v>50.400000000000006</v>
      </c>
      <c r="L76" s="77">
        <f>VLOOKUP($F76,'SKILLED EMPLOYMENT'!$A$1506:$BW$1841,18,FALSE)</f>
        <v>56.1</v>
      </c>
      <c r="M76" s="77">
        <f>VLOOKUP($F76,'SKILLED EMPLOYMENT'!$A$1506:$BW$1841,22,FALSE)</f>
        <v>57.900000000000006</v>
      </c>
      <c r="N76" s="77">
        <f>VLOOKUP($F76,'SKILLED EMPLOYMENT'!$A$1506:$BW$1841,26,FALSE)</f>
        <v>54.800000000000004</v>
      </c>
      <c r="O76" s="77">
        <f>VLOOKUP($F76,'SKILLED EMPLOYMENT'!$A$1506:$BW$1841,30,FALSE)</f>
        <v>52.6</v>
      </c>
      <c r="P76" s="77">
        <f>VLOOKUP($F76,'SKILLED EMPLOYMENT'!$A$1506:$BW$1841,34,FALSE)</f>
        <v>67.099999999999994</v>
      </c>
      <c r="Q76" s="77">
        <f>VLOOKUP($F76,'SKILLED EMPLOYMENT'!$A$1506:$BW$1841,38,FALSE)</f>
        <v>60.499999999999993</v>
      </c>
      <c r="R76" s="77">
        <f>VLOOKUP($F76,'SKILLED EMPLOYMENT'!$A$1506:$BW$1841,42,FALSE)</f>
        <v>57.899999999999991</v>
      </c>
      <c r="S76" s="77">
        <f>VLOOKUP($F76,'SKILLED EMPLOYMENT'!$A$1506:$BW$1841,46,FALSE)</f>
        <v>55.5</v>
      </c>
      <c r="T76" s="77">
        <f>VLOOKUP($F76,'SKILLED EMPLOYMENT'!$A$1506:$BW$1841,50,FALSE)</f>
        <v>53.9</v>
      </c>
      <c r="U76" s="77">
        <f>VLOOKUP($F76,'SKILLED EMPLOYMENT'!$A$1506:$BW$1841,54,FALSE)</f>
        <v>60.7</v>
      </c>
      <c r="V76" s="77">
        <f>VLOOKUP($F76,'SKILLED EMPLOYMENT'!$A$1506:$BW$1841,58,FALSE)</f>
        <v>51.2</v>
      </c>
      <c r="W76" s="77">
        <f>VLOOKUP($F76,'SKILLED EMPLOYMENT'!$A$1506:$BW$1841,62,FALSE)</f>
        <v>57.2</v>
      </c>
      <c r="X76" s="77">
        <f>VLOOKUP($F76,'SKILLED EMPLOYMENT'!$A$1506:$BW$1841,66,FALSE)</f>
        <v>64.599999999999994</v>
      </c>
      <c r="Y76" s="77">
        <f>VLOOKUP($F76,'SKILLED EMPLOYMENT'!$A$1506:$BW$1841,70,FALSE)</f>
        <v>64.8</v>
      </c>
      <c r="Z76" s="77">
        <f>VLOOKUP($F76,'SKILLED EMPLOYMENT'!$A$1506:$BW$1841,74,FALSE)</f>
        <v>61.100000000000009</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Tewkesbury to Rural as a Region</v>
      </c>
      <c r="G79" s="122"/>
      <c r="H79" s="123"/>
      <c r="I79" s="74">
        <f>(I76-I77)</f>
        <v>2.5999999999999943</v>
      </c>
      <c r="J79" s="74">
        <f t="shared" ref="J79:Z79" si="17">(J76-J77)</f>
        <v>0.39999999999999858</v>
      </c>
      <c r="K79" s="74">
        <f t="shared" si="17"/>
        <v>-3.0999999999999943</v>
      </c>
      <c r="L79" s="74">
        <f t="shared" si="17"/>
        <v>2.1000000000000014</v>
      </c>
      <c r="M79" s="74">
        <f t="shared" si="17"/>
        <v>3.8000000000000043</v>
      </c>
      <c r="N79" s="74">
        <f t="shared" si="17"/>
        <v>0.40000000000000568</v>
      </c>
      <c r="O79" s="74">
        <f t="shared" si="17"/>
        <v>-2.7999999999999972</v>
      </c>
      <c r="P79" s="74">
        <f t="shared" si="17"/>
        <v>11.499999999999993</v>
      </c>
      <c r="Q79" s="74">
        <f t="shared" si="17"/>
        <v>5.0999999999999943</v>
      </c>
      <c r="R79" s="74">
        <f t="shared" si="17"/>
        <v>1.6999999999999886</v>
      </c>
      <c r="S79" s="74">
        <f t="shared" si="17"/>
        <v>-0.70000000000000284</v>
      </c>
      <c r="T79" s="74">
        <f t="shared" si="17"/>
        <v>-2.8999999999999986</v>
      </c>
      <c r="U79" s="74">
        <f t="shared" si="17"/>
        <v>4.1000000000000014</v>
      </c>
      <c r="V79" s="74">
        <f t="shared" si="17"/>
        <v>-5.8999999999999986</v>
      </c>
      <c r="W79" s="74">
        <f t="shared" si="17"/>
        <v>-0.59999999999999432</v>
      </c>
      <c r="X79" s="74">
        <f t="shared" si="17"/>
        <v>5.7999999999999972</v>
      </c>
      <c r="Y79" s="74">
        <f t="shared" si="17"/>
        <v>6.0999999999999943</v>
      </c>
      <c r="Z79" s="74">
        <f t="shared" si="17"/>
        <v>2.7000000000000099</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XiQs0PLfL2VUX6u0LTLnFzYG2swoetiocHvQ+55vjNFnQyN3UofDxjIQ4ON4ySvkybZ/8muAZWjpsJ6sBhA+Q==" saltValue="g2snEwuijyGUTCLPypt41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2022-08-02T13:25:35Z</dcterms:modified>
</cp:coreProperties>
</file>