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1BFD61DD-0678-45FA-A439-D37AECE4810B}" xr6:coauthVersionLast="47" xr6:coauthVersionMax="47" xr10:uidLastSave="{95F92B0D-F982-40F9-A662-591E0718710B}"/>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<sst xmlns="http://schemas.openxmlformats.org/spreadsheetml/2006/main" count="32859" uniqueCount="1676">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</sst>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Torridge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21.02</c:v>
                </c:pt>
                <c:pt idx="1">
                  <c:v>20.74</c:v>
                </c:pt>
                <c:pt idx="2">
                  <c:v>22.38</c:v>
                </c:pt>
                <c:pt idx="3">
                  <c:v>22.48</c:v>
                </c:pt>
                <c:pt idx="4">
                  <c:v>21.67</c:v>
                </c:pt>
                <c:pt idx="5">
                  <c:v>20.88</c:v>
                </c:pt>
                <c:pt idx="6">
                  <c:v>20.84</c:v>
                </c:pt>
                <c:pt idx="7">
                  <c:v>21.08</c:v>
                </c:pt>
                <c:pt idx="8">
                  <c:v>21.7</c:v>
                </c:pt>
                <c:pt idx="9">
                  <c:v>22.29</c:v>
                </c:pt>
                <c:pt idx="10">
                  <c:v>23.27</c:v>
                </c:pt>
                <c:pt idx="11">
                  <c:v>24.1</c:v>
                </c:pt>
                <c:pt idx="12">
                  <c:v>24.79</c:v>
                </c:pt>
                <c:pt idx="13">
                  <c:v>25.21</c:v>
                </c:pt>
                <c:pt idx="14">
                  <c:v>25.27</c:v>
                </c:pt>
                <c:pt idx="15">
                  <c:v>25.13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Torridge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341</c:v>
                </c:pt>
                <c:pt idx="1">
                  <c:v>324.5</c:v>
                </c:pt>
                <c:pt idx="2">
                  <c:v>352.1</c:v>
                </c:pt>
                <c:pt idx="3">
                  <c:v>335.8</c:v>
                </c:pt>
                <c:pt idx="4">
                  <c:v>347.7</c:v>
                </c:pt>
                <c:pt idx="5">
                  <c:v>369.4</c:v>
                </c:pt>
                <c:pt idx="6">
                  <c:v>390.2</c:v>
                </c:pt>
                <c:pt idx="7">
                  <c:v>415.2</c:v>
                </c:pt>
                <c:pt idx="8">
                  <c:v>400.5</c:v>
                </c:pt>
                <c:pt idx="9">
                  <c:v>424.1</c:v>
                </c:pt>
                <c:pt idx="10">
                  <c:v>451.9</c:v>
                </c:pt>
                <c:pt idx="11">
                  <c:v>458</c:v>
                </c:pt>
                <c:pt idx="12">
                  <c:v>439</c:v>
                </c:pt>
                <c:pt idx="13">
                  <c:v>485.7</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Torridge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74.099999999999994</c:v>
                </c:pt>
                <c:pt idx="1">
                  <c:v>70.8</c:v>
                </c:pt>
                <c:pt idx="2">
                  <c:v>66.8</c:v>
                </c:pt>
                <c:pt idx="3">
                  <c:v>66.5</c:v>
                </c:pt>
                <c:pt idx="4">
                  <c:v>70.099999999999994</c:v>
                </c:pt>
                <c:pt idx="5">
                  <c:v>71.8</c:v>
                </c:pt>
                <c:pt idx="6">
                  <c:v>68.5</c:v>
                </c:pt>
                <c:pt idx="7">
                  <c:v>66.099999999999994</c:v>
                </c:pt>
                <c:pt idx="8">
                  <c:v>67.7</c:v>
                </c:pt>
                <c:pt idx="9">
                  <c:v>72.3</c:v>
                </c:pt>
                <c:pt idx="10">
                  <c:v>74.5</c:v>
                </c:pt>
                <c:pt idx="11">
                  <c:v>61</c:v>
                </c:pt>
                <c:pt idx="12">
                  <c:v>71</c:v>
                </c:pt>
                <c:pt idx="13">
                  <c:v>76.3</c:v>
                </c:pt>
                <c:pt idx="14">
                  <c:v>76.099999999999994</c:v>
                </c:pt>
                <c:pt idx="15">
                  <c:v>90.9</c:v>
                </c:pt>
                <c:pt idx="16">
                  <c:v>77.2</c:v>
                </c:pt>
                <c:pt idx="17">
                  <c:v>78.900000000000006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Torridge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12392</c:v>
                </c:pt>
                <c:pt idx="1">
                  <c:v>12889</c:v>
                </c:pt>
                <c:pt idx="2">
                  <c:v>13483</c:v>
                </c:pt>
                <c:pt idx="3">
                  <c:v>13957</c:v>
                </c:pt>
                <c:pt idx="4">
                  <c:v>14559</c:v>
                </c:pt>
                <c:pt idx="5">
                  <c:v>15261</c:v>
                </c:pt>
                <c:pt idx="6">
                  <c:v>15379</c:v>
                </c:pt>
                <c:pt idx="7">
                  <c:v>15435</c:v>
                </c:pt>
                <c:pt idx="8">
                  <c:v>15916</c:v>
                </c:pt>
                <c:pt idx="9">
                  <c:v>16366</c:v>
                </c:pt>
                <c:pt idx="10">
                  <c:v>16730</c:v>
                </c:pt>
                <c:pt idx="11">
                  <c:v>17461</c:v>
                </c:pt>
                <c:pt idx="12">
                  <c:v>17536</c:v>
                </c:pt>
                <c:pt idx="13">
                  <c:v>17828</c:v>
                </c:pt>
                <c:pt idx="14">
                  <c:v>18420</c:v>
                </c:pt>
                <c:pt idx="15">
                  <c:v>18974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Torridge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37.4</c:v>
                </c:pt>
                <c:pt idx="1">
                  <c:v>40.5</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Torridge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22.5</c:v>
                </c:pt>
                <c:pt idx="1">
                  <c:v>26.4</c:v>
                </c:pt>
                <c:pt idx="2">
                  <c:v>29.7</c:v>
                </c:pt>
                <c:pt idx="3">
                  <c:v>28.1</c:v>
                </c:pt>
                <c:pt idx="4">
                  <c:v>22.5</c:v>
                </c:pt>
                <c:pt idx="5">
                  <c:v>22.4</c:v>
                </c:pt>
                <c:pt idx="6">
                  <c:v>20</c:v>
                </c:pt>
                <c:pt idx="7">
                  <c:v>25.2</c:v>
                </c:pt>
                <c:pt idx="8">
                  <c:v>27.4</c:v>
                </c:pt>
                <c:pt idx="9">
                  <c:v>21.7</c:v>
                </c:pt>
                <c:pt idx="10">
                  <c:v>20</c:v>
                </c:pt>
                <c:pt idx="11">
                  <c:v>33.299999999999997</c:v>
                </c:pt>
                <c:pt idx="12">
                  <c:v>21.9</c:v>
                </c:pt>
                <c:pt idx="13">
                  <c:v>21.4</c:v>
                </c:pt>
                <c:pt idx="14">
                  <c:v>22.3</c:v>
                </c:pt>
                <c:pt idx="15">
                  <c:v>6.3</c:v>
                </c:pt>
                <c:pt idx="16">
                  <c:v>15.3</c:v>
                </c:pt>
                <c:pt idx="17">
                  <c:v>18.2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Torridge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46.000000000000007</c:v>
                </c:pt>
                <c:pt idx="1">
                  <c:v>28.4</c:v>
                </c:pt>
                <c:pt idx="2">
                  <c:v>35.499999999999993</c:v>
                </c:pt>
                <c:pt idx="3">
                  <c:v>5.2000000000000028</c:v>
                </c:pt>
                <c:pt idx="4">
                  <c:v>13.799999999999997</c:v>
                </c:pt>
                <c:pt idx="5">
                  <c:v>23</c:v>
                </c:pt>
                <c:pt idx="6">
                  <c:v>15.099999999999994</c:v>
                </c:pt>
                <c:pt idx="7">
                  <c:v>32.199999999999996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Torridge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12.091164083341196</c:v>
                </c:pt>
                <c:pt idx="1">
                  <c:v>5.864821878040118</c:v>
                </c:pt>
                <c:pt idx="2">
                  <c:v>14.598642280336335</c:v>
                </c:pt>
                <c:pt idx="3">
                  <c:v>4.7126793983918578</c:v>
                </c:pt>
                <c:pt idx="4">
                  <c:v>16.615855954319841</c:v>
                </c:pt>
                <c:pt idx="5">
                  <c:v>10.486891385767791</c:v>
                </c:pt>
                <c:pt idx="6">
                  <c:v>19.150795037567708</c:v>
                </c:pt>
                <c:pt idx="7">
                  <c:v>20.213563132259274</c:v>
                </c:pt>
                <c:pt idx="8">
                  <c:v>0</c:v>
                </c:pt>
                <c:pt idx="9">
                  <c:v>23.457278481012658</c:v>
                </c:pt>
                <c:pt idx="10">
                  <c:v>0</c:v>
                </c:pt>
                <c:pt idx="11">
                  <c:v>0</c:v>
                </c:pt>
                <c:pt idx="12">
                  <c:v>14.026697123277893</c:v>
                </c:pt>
                <c:pt idx="13">
                  <c:v>24.524040012907388</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Torridge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43.7</c:v>
                </c:pt>
                <c:pt idx="1">
                  <c:v>48.3</c:v>
                </c:pt>
                <c:pt idx="2">
                  <c:v>39.699999999999996</c:v>
                </c:pt>
                <c:pt idx="3">
                  <c:v>42.5</c:v>
                </c:pt>
                <c:pt idx="4">
                  <c:v>51.7</c:v>
                </c:pt>
                <c:pt idx="5">
                  <c:v>59.6</c:v>
                </c:pt>
                <c:pt idx="6">
                  <c:v>52.9</c:v>
                </c:pt>
                <c:pt idx="7">
                  <c:v>40.099999999999994</c:v>
                </c:pt>
                <c:pt idx="8">
                  <c:v>41.3</c:v>
                </c:pt>
                <c:pt idx="9">
                  <c:v>50.900000000000006</c:v>
                </c:pt>
                <c:pt idx="10">
                  <c:v>45.3</c:v>
                </c:pt>
                <c:pt idx="11">
                  <c:v>64.399999999999991</c:v>
                </c:pt>
                <c:pt idx="12">
                  <c:v>56.2</c:v>
                </c:pt>
                <c:pt idx="13">
                  <c:v>55.199999999999996</c:v>
                </c:pt>
                <c:pt idx="14">
                  <c:v>59.3</c:v>
                </c:pt>
                <c:pt idx="15">
                  <c:v>54.3</c:v>
                </c:pt>
                <c:pt idx="16">
                  <c:v>43.6</c:v>
                </c:pt>
                <c:pt idx="17">
                  <c:v>50</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Torridge has fluctuated a little over the years but is broadly similar to the England and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Torridge,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Between 2017 and 2018 the </a:t>
          </a:r>
          <a:r>
            <a:rPr lang="en-GB" sz="1100">
              <a:solidFill>
                <a:schemeClr val="dk1"/>
              </a:solidFill>
              <a:effectLst/>
              <a:latin typeface="Avenir Next LT Pro" panose="020B0504020202020204" pitchFamily="34" charset="0"/>
              <a:ea typeface="+mn-ea"/>
              <a:cs typeface="+mn-cs"/>
            </a:rPr>
            <a:t>proportion of jobs</a:t>
          </a:r>
          <a:r>
            <a:rPr lang="en-GB" sz="1100" baseline="0">
              <a:solidFill>
                <a:schemeClr val="dk1"/>
              </a:solidFill>
              <a:effectLst/>
              <a:latin typeface="Avenir Next LT Pro" panose="020B0504020202020204" pitchFamily="34" charset="0"/>
              <a:ea typeface="+mn-ea"/>
              <a:cs typeface="+mn-cs"/>
            </a:rPr>
            <a:t> that are low paid in Torridge is above that for both England and rural and increased by nearly 3%.</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Economic inactivity rate within Torridge has fluctuated in the period 2004 to 2021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Torridge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Torridge where data is available has been less stable and has in certain years been significantly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Torridge in general has a lower proportion of employed people in skilled employment than seen for England or 'Rural as a Region'.</a:t>
          </a:r>
          <a:endParaRPr lang="en-GB" sz="1100">
            <a:latin typeface="Avenir Next LT Pro" panose="020B0504020202020204" pitchFamily="34" charset="0"/>
          </a:endParaRPr>
        </a:p>
      </xdr:txBody>
    </xdr:sp>
    <xdr:clientData/>
  </xdr:twoCellAnchor>
  <xdr:twoCellAnchor>
    <xdr:from>
      <xdr:col>0</xdr:col>
      <xdr:colOff>548640</xdr:colOff>
      <xdr:row>20</xdr:row>
      <xdr:rowOff>609600</xdr:rowOff>
    </xdr:from>
    <xdr:to>
      <xdr:col>1</xdr:col>
      <xdr:colOff>2529840</xdr:colOff>
      <xdr:row>22</xdr:row>
      <xdr:rowOff>137160</xdr:rowOff>
    </xdr:to>
    <xdr:sp macro="" textlink="">
      <xdr:nvSpPr>
        <xdr:cNvPr id="20" name="TextBox 19">
          <a:extLst>
            <a:ext uri="{FF2B5EF4-FFF2-40B4-BE49-F238E27FC236}">
              <a16:creationId xmlns:a16="http://schemas.microsoft.com/office/drawing/2014/main" id="{26E2EAA2-85FE-4756-88FF-BAF7E900F1AE}"/>
            </a:ext>
          </a:extLst>
        </xdr:cNvPr>
        <xdr:cNvSpPr txBox="1"/>
      </xdr:nvSpPr>
      <xdr:spPr>
        <a:xfrm>
          <a:off x="54864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Torridge has fluctauted a little over the years, but is consistently below the rural average situation.</a:t>
          </a:r>
          <a:endParaRPr lang="en-GB" sz="1100">
            <a:latin typeface="Avenir Next LT Pro" panose="020B0504020202020204" pitchFamily="34" charset="0"/>
          </a:endParaRPr>
        </a:p>
      </xdr:txBody>
    </xdr:sp>
    <xdr:clientData/>
  </xdr:twoCellAnchor>
  <xdr:twoCellAnchor>
    <xdr:from>
      <xdr:col>0</xdr:col>
      <xdr:colOff>579120</xdr:colOff>
      <xdr:row>12</xdr:row>
      <xdr:rowOff>502920</xdr:rowOff>
    </xdr:from>
    <xdr:to>
      <xdr:col>1</xdr:col>
      <xdr:colOff>2560320</xdr:colOff>
      <xdr:row>14</xdr:row>
      <xdr:rowOff>7620</xdr:rowOff>
    </xdr:to>
    <xdr:sp macro="" textlink="">
      <xdr:nvSpPr>
        <xdr:cNvPr id="21" name="TextBox 20">
          <a:extLst>
            <a:ext uri="{FF2B5EF4-FFF2-40B4-BE49-F238E27FC236}">
              <a16:creationId xmlns:a16="http://schemas.microsoft.com/office/drawing/2014/main" id="{673DB1C3-380C-4D08-9C10-D59860CC7FDB}"/>
            </a:ext>
          </a:extLst>
        </xdr:cNvPr>
        <xdr:cNvSpPr txBox="1"/>
      </xdr:nvSpPr>
      <xdr:spPr>
        <a:xfrm>
          <a:off x="579120" y="348996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Torridge is below that of both England and 'Rural as a Region' from 2004 to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439</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Torridge</v>
      </c>
      <c r="G12" s="88" t="str">
        <f>IFERROR(VLOOKUP(F12,GVA!B244:B552,1,FALSE),VLOOKUP(F12,GVA!B6:C230,2,FALSE))</f>
        <v>Torridge</v>
      </c>
      <c r="H12" s="89" t="str">
        <f>IF(F12=G12,"",G12)</f>
        <v/>
      </c>
      <c r="I12" s="76">
        <f>IFERROR(VLOOKUP($F12,GVA!$B$7:$S$230,GVA!D$3,FALSE),VLOOKUP($F12,GVA!$B$244:$T$554,GVA!E$3,FALSE))</f>
        <v>21.02</v>
      </c>
      <c r="J12" s="77">
        <f>IFERROR(VLOOKUP($F12,GVA!$B$7:$S$230,GVA!E$3,FALSE),VLOOKUP($F12,GVA!$B$244:$T$554,GVA!F$3,FALSE))</f>
        <v>20.74</v>
      </c>
      <c r="K12" s="77">
        <f>IFERROR(VLOOKUP($F12,GVA!$B$7:$S$230,GVA!F$3,FALSE),VLOOKUP($F12,GVA!$B$244:$T$554,GVA!G$3,FALSE))</f>
        <v>22.38</v>
      </c>
      <c r="L12" s="77">
        <f>IFERROR(VLOOKUP($F12,GVA!$B$7:$S$230,GVA!G$3,FALSE),VLOOKUP($F12,GVA!$B$244:$T$554,GVA!H$3,FALSE))</f>
        <v>22.48</v>
      </c>
      <c r="M12" s="77">
        <f>IFERROR(VLOOKUP($F12,GVA!$B$7:$S$230,GVA!H$3,FALSE),VLOOKUP($F12,GVA!$B$244:$T$554,GVA!I$3,FALSE))</f>
        <v>21.67</v>
      </c>
      <c r="N12" s="77">
        <f>IFERROR(VLOOKUP($F12,GVA!$B$7:$S$230,GVA!I$3,FALSE),VLOOKUP($F12,GVA!$B$244:$T$554,GVA!J$3,FALSE))</f>
        <v>20.88</v>
      </c>
      <c r="O12" s="77">
        <f>IFERROR(VLOOKUP($F12,GVA!$B$7:$S$230,GVA!J$3,FALSE),VLOOKUP($F12,GVA!$B$244:$T$554,GVA!K$3,FALSE))</f>
        <v>20.84</v>
      </c>
      <c r="P12" s="77">
        <f>IFERROR(VLOOKUP($F12,GVA!$B$7:$S$230,GVA!K$3,FALSE),VLOOKUP($F12,GVA!$B$244:$T$554,GVA!L$3,FALSE))</f>
        <v>21.08</v>
      </c>
      <c r="Q12" s="77">
        <f>IFERROR(VLOOKUP($F12,GVA!$B$7:$S$230,GVA!L$3,FALSE),VLOOKUP($F12,GVA!$B$244:$T$554,GVA!M$3,FALSE))</f>
        <v>21.7</v>
      </c>
      <c r="R12" s="77">
        <f>IFERROR(VLOOKUP($F12,GVA!$B$7:$S$230,GVA!M$3,FALSE),VLOOKUP($F12,GVA!$B$244:$T$554,GVA!N$3,FALSE))</f>
        <v>22.29</v>
      </c>
      <c r="S12" s="77">
        <f>IFERROR(VLOOKUP($F12,GVA!$B$7:$S$230,GVA!N$3,FALSE),VLOOKUP($F12,GVA!$B$244:$T$554,GVA!O$3,FALSE))</f>
        <v>23.27</v>
      </c>
      <c r="T12" s="77">
        <f>IFERROR(VLOOKUP($F12,GVA!$B$7:$S$230,GVA!O$3,FALSE),VLOOKUP($F12,GVA!$B$244:$T$554,GVA!P$3,FALSE))</f>
        <v>24.1</v>
      </c>
      <c r="U12" s="77">
        <f>IFERROR(VLOOKUP($F12,GVA!$B$7:$S$230,GVA!P$3,FALSE),VLOOKUP($F12,GVA!$B$244:$T$554,GVA!Q$3,FALSE))</f>
        <v>24.79</v>
      </c>
      <c r="V12" s="77">
        <f>IFERROR(VLOOKUP($F12,GVA!$B$7:$S$230,GVA!Q$3,FALSE),VLOOKUP($F12,GVA!$B$244:$T$554,GVA!R$3,FALSE))</f>
        <v>25.21</v>
      </c>
      <c r="W12" s="77">
        <f>IFERROR(VLOOKUP($F12,GVA!$B$7:$S$230,GVA!R$3,FALSE),VLOOKUP($F12,GVA!$B$244:$T$554,GVA!S$3,FALSE))</f>
        <v>25.27</v>
      </c>
      <c r="X12" s="77">
        <f>IFERROR(VLOOKUP($F12,GVA!$B$7:$S$230,GVA!S$3,FALSE),VLOOKUP($F12,GVA!$B$244:$T$554,GVA!T$3,FALSE))</f>
        <v>25.13</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Torridge to Rural as a Region</v>
      </c>
      <c r="G15" s="102"/>
      <c r="H15" s="103"/>
      <c r="I15" s="74">
        <f>100*((I12-I13)/I13)</f>
        <v>-10.705634251556321</v>
      </c>
      <c r="J15" s="74">
        <f t="shared" ref="J15:X15" si="0">100*((J12-J13)/J13)</f>
        <v>-11.649796133638974</v>
      </c>
      <c r="K15" s="74">
        <f t="shared" si="0"/>
        <v>-7.9161217322302955</v>
      </c>
      <c r="L15" s="74">
        <f t="shared" si="0"/>
        <v>-9.4956001610398779</v>
      </c>
      <c r="M15" s="74">
        <f t="shared" si="0"/>
        <v>-14.227958326854278</v>
      </c>
      <c r="N15" s="74">
        <f t="shared" si="0"/>
        <v>-18.030013413032613</v>
      </c>
      <c r="O15" s="74">
        <f t="shared" si="0"/>
        <v>-19.193858851442712</v>
      </c>
      <c r="P15" s="74">
        <f t="shared" si="0"/>
        <v>-19.464039623954477</v>
      </c>
      <c r="Q15" s="74">
        <f t="shared" si="0"/>
        <v>-18.759192405401805</v>
      </c>
      <c r="R15" s="74">
        <f t="shared" si="0"/>
        <v>-17.97284687265897</v>
      </c>
      <c r="S15" s="74">
        <f t="shared" si="0"/>
        <v>-15.763616853482299</v>
      </c>
      <c r="T15" s="74">
        <f t="shared" si="0"/>
        <v>-14.381418010184211</v>
      </c>
      <c r="U15" s="74">
        <f t="shared" si="0"/>
        <v>-14.034124451453348</v>
      </c>
      <c r="V15" s="74">
        <f t="shared" si="0"/>
        <v>-14.890983260655494</v>
      </c>
      <c r="W15" s="74">
        <f t="shared" si="0"/>
        <v>-16.419720517070928</v>
      </c>
      <c r="X15" s="74">
        <f t="shared" si="0"/>
        <v>-17.744933386847279</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Torridge</v>
      </c>
      <c r="G20" s="88"/>
      <c r="H20" s="89"/>
      <c r="I20" s="80">
        <f>IF(VLOOKUP($F20,PAY!$A$11:$AE$349,4,FALSE)="-",#N/A,VLOOKUP($F20,PAY!$A$11:$AE$349,4,FALSE))</f>
        <v>341</v>
      </c>
      <c r="J20" s="80">
        <f>IF(VLOOKUP($F20,PAY!$A$11:$AE$349,6,FALSE)="-",#N/A,VLOOKUP($F20,PAY!$A$11:$AE$349,6,FALSE))</f>
        <v>324.5</v>
      </c>
      <c r="K20" s="80">
        <f>IF(VLOOKUP($F20,PAY!$A$11:$AE$349,8,FALSE)="-",#N/A,VLOOKUP($F20,PAY!$A$11:$AE$349,8,FALSE))</f>
        <v>352.1</v>
      </c>
      <c r="L20" s="80">
        <f>IF(VLOOKUP($F20,PAY!$A$11:$AE$349,10,FALSE)="-",#N/A,VLOOKUP($F20,PAY!$A$11:$AE$349,10,FALSE))</f>
        <v>335.8</v>
      </c>
      <c r="M20" s="80">
        <f>IF(VLOOKUP($F20,PAY!$A$11:$AE$349,12,FALSE)="-",#N/A,VLOOKUP($F20,PAY!$A$11:$AE$349,12,FALSE))</f>
        <v>347.7</v>
      </c>
      <c r="N20" s="80">
        <f>IF(VLOOKUP($F20,PAY!$A$11:$AE$349,14,FALSE)="-",#N/A,VLOOKUP($F20,PAY!$A$11:$AE$349,14,FALSE))</f>
        <v>369.4</v>
      </c>
      <c r="O20" s="80">
        <f>IF(VLOOKUP($F20,PAY!$A$11:$AE$349,16,FALSE)="-",#N/A,VLOOKUP($F20,PAY!$A$11:$AE$349,16,FALSE))</f>
        <v>390.2</v>
      </c>
      <c r="P20" s="80">
        <f>IF(VLOOKUP($F20,PAY!$A$11:$AE$349,18,FALSE)="-",#N/A,VLOOKUP($F20,PAY!$A$11:$AE$349,18,FALSE))</f>
        <v>415.2</v>
      </c>
      <c r="Q20" s="80">
        <f>IF(VLOOKUP($F20,PAY!$A$11:$AE$349,20,FALSE)="-",#N/A,VLOOKUP($F20,PAY!$A$11:$AE$349,20,FALSE))</f>
        <v>400.5</v>
      </c>
      <c r="R20" s="80">
        <f>IF(VLOOKUP($F20,PAY!$A$11:$AE$349,22,FALSE)="-",#N/A,VLOOKUP($F20,PAY!$A$11:$AE$349,22,FALSE))</f>
        <v>424.1</v>
      </c>
      <c r="S20" s="80">
        <f>IF(VLOOKUP($F20,PAY!$A$11:$AE$349,24,FALSE)="-",#N/A,VLOOKUP($F20,PAY!$A$11:$AE$349,24,FALSE))</f>
        <v>451.9</v>
      </c>
      <c r="T20" s="80">
        <f>IF(VLOOKUP($F20,PAY!$A$11:$AE$349,26,FALSE)="-",#N/A,VLOOKUP($F20,PAY!$A$11:$AE$349,26,FALSE))</f>
        <v>458</v>
      </c>
      <c r="U20" s="80">
        <f>IF(VLOOKUP($F20,PAY!$A$11:$AE$349,28,FALSE)="-",#N/A,VLOOKUP($F20,PAY!$A$11:$AE$349,28,FALSE))</f>
        <v>439</v>
      </c>
      <c r="V20" s="80">
        <f>IF(VLOOKUP($F20,PAY!$A$11:$AE$349,30,FALSE)="-",#N/A,VLOOKUP($F20,PAY!$A$11:$AE$349,30,FALSE))</f>
        <v>485.7</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Torridge to Rural as a Region</v>
      </c>
      <c r="G23" s="102"/>
      <c r="H23" s="103"/>
      <c r="I23" s="74">
        <f>100*((I20-I21)/I21)</f>
        <v>-21.245731792880861</v>
      </c>
      <c r="J23" s="74">
        <f t="shared" ref="J23:V23" si="2">100*((J20-J21)/J21)</f>
        <v>-25.730960691194145</v>
      </c>
      <c r="K23" s="74">
        <f t="shared" si="2"/>
        <v>-21.42600894327547</v>
      </c>
      <c r="L23" s="74">
        <f t="shared" si="2"/>
        <v>-25.485933216484636</v>
      </c>
      <c r="M23" s="74">
        <f t="shared" si="2"/>
        <v>-23.623214196339706</v>
      </c>
      <c r="N23" s="74">
        <f t="shared" si="2"/>
        <v>-20.245636857553585</v>
      </c>
      <c r="O23" s="74">
        <f t="shared" si="2"/>
        <v>-17.120241763323602</v>
      </c>
      <c r="P23" s="74">
        <f t="shared" si="2"/>
        <v>-12.556616876694513</v>
      </c>
      <c r="Q23" s="74">
        <f t="shared" si="2"/>
        <v>-18.178855985787109</v>
      </c>
      <c r="R23" s="74">
        <f t="shared" si="2"/>
        <v>-15.862683793523406</v>
      </c>
      <c r="S23" s="74">
        <f t="shared" si="2"/>
        <v>-12.154451211272811</v>
      </c>
      <c r="T23" s="74">
        <f t="shared" si="2"/>
        <v>-14.183807078631377</v>
      </c>
      <c r="U23" s="74">
        <f t="shared" si="2"/>
        <v>-17.333303083240661</v>
      </c>
      <c r="V23" s="74">
        <f t="shared" si="2"/>
        <v>-13.92177754622268</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Torridge</v>
      </c>
      <c r="G28" s="88"/>
      <c r="H28" s="89"/>
      <c r="I28" s="76">
        <f>VLOOKUP($F28,EMPLOYMENT!$A$6:$BW$345,6,FALSE)</f>
        <v>74.099999999999994</v>
      </c>
      <c r="J28" s="77">
        <f>VLOOKUP($F28,EMPLOYMENT!$A$6:$BW$345,10,FALSE)</f>
        <v>70.8</v>
      </c>
      <c r="K28" s="77">
        <f>VLOOKUP($F28,EMPLOYMENT!$A$6:$BW$345,14,FALSE)</f>
        <v>66.8</v>
      </c>
      <c r="L28" s="77">
        <f>VLOOKUP($F28,EMPLOYMENT!$A$6:$BW$345,18,FALSE)</f>
        <v>66.5</v>
      </c>
      <c r="M28" s="77">
        <f>VLOOKUP($F28,EMPLOYMENT!$A$6:$BW$345,22,FALSE)</f>
        <v>70.099999999999994</v>
      </c>
      <c r="N28" s="77">
        <f>VLOOKUP($F28,EMPLOYMENT!$A$6:$BW$345,26,FALSE)</f>
        <v>71.8</v>
      </c>
      <c r="O28" s="77">
        <f>VLOOKUP($F28,EMPLOYMENT!$A$6:$BW$345,30,FALSE)</f>
        <v>68.5</v>
      </c>
      <c r="P28" s="77">
        <f>VLOOKUP($F28,EMPLOYMENT!$A$6:$BW$345,34,FALSE)</f>
        <v>66.099999999999994</v>
      </c>
      <c r="Q28" s="77">
        <f>VLOOKUP($F28,EMPLOYMENT!$A$6:$BW$345,38,FALSE)</f>
        <v>67.7</v>
      </c>
      <c r="R28" s="77">
        <f>VLOOKUP($F28,EMPLOYMENT!$A$6:$BW$345,42,FALSE)</f>
        <v>72.3</v>
      </c>
      <c r="S28" s="77">
        <f>VLOOKUP($F28,EMPLOYMENT!$A$6:$BW$345,46,FALSE)</f>
        <v>74.5</v>
      </c>
      <c r="T28" s="77">
        <f>VLOOKUP($F28,EMPLOYMENT!$A$6:$BW$345,50,FALSE)</f>
        <v>61</v>
      </c>
      <c r="U28" s="77">
        <f>VLOOKUP($F28,EMPLOYMENT!$A$6:$BW$345,54,FALSE)</f>
        <v>71</v>
      </c>
      <c r="V28" s="77">
        <f>VLOOKUP($F28,EMPLOYMENT!$A$6:$BW$345,58,FALSE)</f>
        <v>76.3</v>
      </c>
      <c r="W28" s="77">
        <f>VLOOKUP($F28,EMPLOYMENT!$A$6:$BW$345,62,FALSE)</f>
        <v>76.099999999999994</v>
      </c>
      <c r="X28" s="77">
        <f>VLOOKUP($F28,EMPLOYMENT!$A$6:$BW$345,66,FALSE)</f>
        <v>90.9</v>
      </c>
      <c r="Y28" s="77">
        <f>VLOOKUP($F28,EMPLOYMENT!$A$6:$BW$345,70,FALSE)</f>
        <v>77.2</v>
      </c>
      <c r="Z28" s="77">
        <f>VLOOKUP($F28,EMPLOYMENT!$A$6:$BW$345,74,FALSE)</f>
        <v>78.900000000000006</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Torridge to Rural as a Region</v>
      </c>
      <c r="G31" s="102"/>
      <c r="H31" s="103"/>
      <c r="I31" s="74">
        <f>(I28-I29)</f>
        <v>-2.0113419194017439</v>
      </c>
      <c r="J31" s="74">
        <f t="shared" ref="J31:Z31" si="4">(J28-J29)</f>
        <v>-5.5129754666829598</v>
      </c>
      <c r="K31" s="74">
        <f t="shared" si="4"/>
        <v>-9.073188899486766</v>
      </c>
      <c r="L31" s="74">
        <f t="shared" si="4"/>
        <v>-9.1404683026278377</v>
      </c>
      <c r="M31" s="74">
        <f t="shared" si="4"/>
        <v>-5.6355243733317479</v>
      </c>
      <c r="N31" s="74">
        <f t="shared" si="4"/>
        <v>-2.7095398428731841</v>
      </c>
      <c r="O31" s="74">
        <f t="shared" si="4"/>
        <v>-5.047133138969869</v>
      </c>
      <c r="P31" s="74">
        <f t="shared" si="4"/>
        <v>-7.6342954032776191</v>
      </c>
      <c r="Q31" s="74">
        <f t="shared" si="4"/>
        <v>-6.3331574754625706</v>
      </c>
      <c r="R31" s="74">
        <f t="shared" si="4"/>
        <v>-2.4444749299002098</v>
      </c>
      <c r="S31" s="74">
        <f t="shared" si="4"/>
        <v>-1.6088603400756085</v>
      </c>
      <c r="T31" s="74">
        <f t="shared" si="4"/>
        <v>-16.190531975609019</v>
      </c>
      <c r="U31" s="74">
        <f t="shared" si="4"/>
        <v>-5.971632481708042</v>
      </c>
      <c r="V31" s="74">
        <f t="shared" si="4"/>
        <v>-1.7327868852459005</v>
      </c>
      <c r="W31" s="74">
        <f t="shared" si="4"/>
        <v>-1.9481568934141507</v>
      </c>
      <c r="X31" s="74">
        <f t="shared" si="4"/>
        <v>12.3087006210433</v>
      </c>
      <c r="Y31" s="74">
        <f t="shared" si="4"/>
        <v>0.18565370387079838</v>
      </c>
      <c r="Z31" s="74">
        <f t="shared" si="4"/>
        <v>2.7442419221209633</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Torridge</v>
      </c>
      <c r="G36" s="88" t="str">
        <f>IFERROR(VLOOKUP(F36,GDHI!B338:C574,2,FALSE),VLOOKUP(F36,GDHI!C3:C336,1,FALSE))</f>
        <v>Torridge</v>
      </c>
      <c r="H36" s="89" t="str">
        <f>IF(F36=G36,"",G36)</f>
        <v/>
      </c>
      <c r="I36" s="83">
        <f>IFERROR(VLOOKUP($F36,GDHI!$B$338:$U$574,GDHI!G$578,FALSE),VLOOKUP($F36,GDHI!$C$3:$U$336,GDHI!F$578,FALSE))</f>
        <v>12392</v>
      </c>
      <c r="J36" s="84">
        <f>IFERROR(VLOOKUP($F36,GDHI!$B$338:$U$574,GDHI!H$578,FALSE),VLOOKUP($F36,GDHI!$C$3:$U$336,GDHI!G$578,FALSE))</f>
        <v>12889</v>
      </c>
      <c r="K36" s="84">
        <f>IFERROR(VLOOKUP($F36,GDHI!$B$338:$U$574,GDHI!I$578,FALSE),VLOOKUP($F36,GDHI!$C$3:$U$336,GDHI!H$578,FALSE))</f>
        <v>13483</v>
      </c>
      <c r="L36" s="84">
        <f>IFERROR(VLOOKUP($F36,GDHI!$B$338:$U$574,GDHI!J$578,FALSE),VLOOKUP($F36,GDHI!$C$3:$U$336,GDHI!I$578,FALSE))</f>
        <v>13957</v>
      </c>
      <c r="M36" s="84">
        <f>IFERROR(VLOOKUP($F36,GDHI!$B$338:$U$574,GDHI!K$578,FALSE),VLOOKUP($F36,GDHI!$C$3:$U$336,GDHI!J$578,FALSE))</f>
        <v>14559</v>
      </c>
      <c r="N36" s="84">
        <f>IFERROR(VLOOKUP($F36,GDHI!$B$338:$U$574,GDHI!L$578,FALSE),VLOOKUP($F36,GDHI!$C$3:$U$336,GDHI!K$578,FALSE))</f>
        <v>15261</v>
      </c>
      <c r="O36" s="84">
        <f>IFERROR(VLOOKUP($F36,GDHI!$B$338:$U$574,GDHI!M$578,FALSE),VLOOKUP($F36,GDHI!$C$3:$U$336,GDHI!L$578,FALSE))</f>
        <v>15379</v>
      </c>
      <c r="P36" s="84">
        <f>IFERROR(VLOOKUP($F36,GDHI!$B$338:$U$574,GDHI!N$578,FALSE),VLOOKUP($F36,GDHI!$C$3:$U$336,GDHI!M$578,FALSE))</f>
        <v>15435</v>
      </c>
      <c r="Q36" s="84">
        <f>IFERROR(VLOOKUP($F36,GDHI!$B$338:$U$574,GDHI!O$578,FALSE),VLOOKUP($F36,GDHI!$C$3:$U$336,GDHI!N$578,FALSE))</f>
        <v>15916</v>
      </c>
      <c r="R36" s="84">
        <f>IFERROR(VLOOKUP($F36,GDHI!$B$338:$U$574,GDHI!P$578,FALSE),VLOOKUP($F36,GDHI!$C$3:$U$336,GDHI!O$578,FALSE))</f>
        <v>16366</v>
      </c>
      <c r="S36" s="84">
        <f>IFERROR(VLOOKUP($F36,GDHI!$B$338:$U$574,GDHI!Q$578,FALSE),VLOOKUP($F36,GDHI!$C$3:$U$336,GDHI!P$578,FALSE))</f>
        <v>16730</v>
      </c>
      <c r="T36" s="84">
        <f>IFERROR(VLOOKUP($F36,GDHI!$B$338:$U$574,GDHI!R$578,FALSE),VLOOKUP($F36,GDHI!$C$3:$U$336,GDHI!Q$578,FALSE))</f>
        <v>17461</v>
      </c>
      <c r="U36" s="84">
        <f>IFERROR(VLOOKUP($F36,GDHI!$B$338:$U$574,GDHI!S$578,FALSE),VLOOKUP($F36,GDHI!$C$3:$U$336,GDHI!R$578,FALSE))</f>
        <v>17536</v>
      </c>
      <c r="V36" s="84">
        <f>IFERROR(VLOOKUP($F36,GDHI!$B$338:$U$574,GDHI!T$578,FALSE),VLOOKUP($F36,GDHI!$C$3:$U$336,GDHI!S$578,FALSE))</f>
        <v>17828</v>
      </c>
      <c r="W36" s="84">
        <f>IFERROR(VLOOKUP($F36,GDHI!$B$338:$U$574,GDHI!U$578,FALSE),VLOOKUP($F36,GDHI!$C$3:$U$336,GDHI!T$578,FALSE))</f>
        <v>18420</v>
      </c>
      <c r="X36" s="84">
        <f>IFERROR(VLOOKUP($F36,GDHI!$B$338:$U$574,GDHI!V$578,FALSE),VLOOKUP($F36,GDHI!$C$3:$U$336,GDHI!U$578,FALSE))</f>
        <v>18974</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Torridge to Rural as a Region</v>
      </c>
      <c r="G39" s="102"/>
      <c r="H39" s="103"/>
      <c r="I39" s="74">
        <f>100*((I36-I37)/I37)</f>
        <v>-15.755124239437098</v>
      </c>
      <c r="J39" s="74">
        <f t="shared" ref="J39:X39" si="6">100*((J36-J37)/J37)</f>
        <v>-15.985724938910408</v>
      </c>
      <c r="K39" s="74">
        <f t="shared" si="6"/>
        <v>-15.330012537089821</v>
      </c>
      <c r="L39" s="74">
        <f t="shared" si="6"/>
        <v>-15.76020297084127</v>
      </c>
      <c r="M39" s="74">
        <f t="shared" si="6"/>
        <v>-14.676873251876923</v>
      </c>
      <c r="N39" s="74">
        <f t="shared" si="6"/>
        <v>-11.749993976339065</v>
      </c>
      <c r="O39" s="74">
        <f t="shared" si="6"/>
        <v>-12.159737261714945</v>
      </c>
      <c r="P39" s="74">
        <f t="shared" si="6"/>
        <v>-13.286748831597558</v>
      </c>
      <c r="Q39" s="74">
        <f t="shared" si="6"/>
        <v>-13.341552294762543</v>
      </c>
      <c r="R39" s="74">
        <f t="shared" si="6"/>
        <v>-13.287847756827729</v>
      </c>
      <c r="S39" s="74">
        <f t="shared" si="6"/>
        <v>-13.745260905671074</v>
      </c>
      <c r="T39" s="74">
        <f t="shared" si="6"/>
        <v>-14.651015826574534</v>
      </c>
      <c r="U39" s="74">
        <f t="shared" si="6"/>
        <v>-14.976577092419479</v>
      </c>
      <c r="V39" s="74">
        <f t="shared" si="6"/>
        <v>-14.965013363799123</v>
      </c>
      <c r="W39" s="74">
        <f t="shared" si="6"/>
        <v>-15.666603805053425</v>
      </c>
      <c r="X39" s="74">
        <f t="shared" si="6"/>
        <v>-14.781547700841221</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Torridge</v>
      </c>
      <c r="G44" s="88"/>
      <c r="H44" s="89"/>
      <c r="I44" s="76">
        <f>VLOOKUP($F44,'LOW PAID'!$A$9:$N$444,6,FALSE)</f>
        <v>37.4</v>
      </c>
      <c r="J44" s="77">
        <f>VLOOKUP($F44,'LOW PAID'!$P$9:$W$444,6,FALSE)</f>
        <v>40.5</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Torridge to Rural as a Region</v>
      </c>
      <c r="G47" s="102"/>
      <c r="H47" s="103"/>
      <c r="I47" s="74">
        <f>(I44-I45)</f>
        <v>12.206125321786882</v>
      </c>
      <c r="J47" s="74">
        <f>(J44-J45)</f>
        <v>14.813883490969946</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Torridge</v>
      </c>
      <c r="G52" s="88"/>
      <c r="H52" s="89"/>
      <c r="I52" s="76">
        <f>VLOOKUP($F52,INACTIVITY!$A$6:$BW$345,6,FALSE)</f>
        <v>22.5</v>
      </c>
      <c r="J52" s="77">
        <f>VLOOKUP($F52,INACTIVITY!$A$6:$BW$345,10,FALSE)</f>
        <v>26.4</v>
      </c>
      <c r="K52" s="77">
        <f>VLOOKUP($F52,INACTIVITY!$A$6:$BW$345,14,FALSE)</f>
        <v>29.7</v>
      </c>
      <c r="L52" s="77">
        <f>VLOOKUP($F52,INACTIVITY!$A$6:$BW$345,18,FALSE)</f>
        <v>28.1</v>
      </c>
      <c r="M52" s="77">
        <f>VLOOKUP($F52,INACTIVITY!$A$6:$BW$345,22,FALSE)</f>
        <v>22.5</v>
      </c>
      <c r="N52" s="77">
        <f>VLOOKUP($F52,INACTIVITY!$A$6:$BW$345,26,FALSE)</f>
        <v>22.4</v>
      </c>
      <c r="O52" s="77">
        <f>VLOOKUP($F52,INACTIVITY!$A$6:$BW$345,30,FALSE)</f>
        <v>20</v>
      </c>
      <c r="P52" s="77">
        <f>VLOOKUP($F52,INACTIVITY!$A$6:$BW$345,34,FALSE)</f>
        <v>25.2</v>
      </c>
      <c r="Q52" s="77">
        <f>VLOOKUP($F52,INACTIVITY!$A$6:$BW$345,38,FALSE)</f>
        <v>27.4</v>
      </c>
      <c r="R52" s="77">
        <f>VLOOKUP($F52,INACTIVITY!$A$6:$BW$345,42,FALSE)</f>
        <v>21.7</v>
      </c>
      <c r="S52" s="77">
        <f>VLOOKUP($F52,INACTIVITY!$A$6:$BW$345,46,FALSE)</f>
        <v>20</v>
      </c>
      <c r="T52" s="77">
        <f>VLOOKUP($F52,INACTIVITY!$A$6:$BW$345,50,FALSE)</f>
        <v>33.299999999999997</v>
      </c>
      <c r="U52" s="77">
        <f>VLOOKUP($F52,INACTIVITY!$A$6:$BW$345,54,FALSE)</f>
        <v>21.9</v>
      </c>
      <c r="V52" s="77">
        <f>VLOOKUP($F52,INACTIVITY!$A$6:$BW$345,58,FALSE)</f>
        <v>21.4</v>
      </c>
      <c r="W52" s="77">
        <f>VLOOKUP($F52,INACTIVITY!$A$6:$BW$345,62,FALSE)</f>
        <v>22.3</v>
      </c>
      <c r="X52" s="77">
        <f>VLOOKUP($F52,INACTIVITY!$A$6:$BW$345,66,FALSE)</f>
        <v>6.3</v>
      </c>
      <c r="Y52" s="77">
        <f>VLOOKUP($F52,INACTIVITY!$A$6:$BW$345,70,FALSE)</f>
        <v>15.3</v>
      </c>
      <c r="Z52" s="77">
        <f>VLOOKUP($F52,INACTIVITY!$A$6:$BW$345,74,FALSE)</f>
        <v>18.2</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Torridge to Rural as a Region</v>
      </c>
      <c r="G55" s="102"/>
      <c r="H55" s="103"/>
      <c r="I55" s="74">
        <f>(I52-I53)</f>
        <v>1.1043554283897627</v>
      </c>
      <c r="J55" s="74">
        <f t="shared" ref="J55:Z55" si="10">(J52-J53)</f>
        <v>5.391477272727272</v>
      </c>
      <c r="K55" s="74">
        <f t="shared" si="10"/>
        <v>8.8375346065412224</v>
      </c>
      <c r="L55" s="74">
        <f t="shared" si="10"/>
        <v>6.7859346684633621</v>
      </c>
      <c r="M55" s="74">
        <f t="shared" si="10"/>
        <v>1.6649976891079952</v>
      </c>
      <c r="N55" s="74">
        <f t="shared" si="10"/>
        <v>1.4668562420795581</v>
      </c>
      <c r="O55" s="74">
        <f t="shared" si="10"/>
        <v>-1.6919371275051738</v>
      </c>
      <c r="P55" s="74">
        <f t="shared" si="10"/>
        <v>3.7057542192465505</v>
      </c>
      <c r="Q55" s="74">
        <f t="shared" si="10"/>
        <v>6.2174512055109048</v>
      </c>
      <c r="R55" s="74">
        <f t="shared" si="10"/>
        <v>0.92540690256122815</v>
      </c>
      <c r="S55" s="74">
        <f t="shared" si="10"/>
        <v>-0.27321045597240001</v>
      </c>
      <c r="T55" s="74">
        <f t="shared" si="10"/>
        <v>13.603805316593039</v>
      </c>
      <c r="U55" s="74">
        <f t="shared" si="10"/>
        <v>2.0475706529305278</v>
      </c>
      <c r="V55" s="74">
        <f t="shared" si="10"/>
        <v>2.1467226657196221</v>
      </c>
      <c r="W55" s="74">
        <f t="shared" si="10"/>
        <v>3.1230439908171519</v>
      </c>
      <c r="X55" s="74">
        <f t="shared" si="10"/>
        <v>-12.552064949364929</v>
      </c>
      <c r="Y55" s="74">
        <f t="shared" si="10"/>
        <v>-4.4725827218714613</v>
      </c>
      <c r="Z55" s="74">
        <f t="shared" si="10"/>
        <v>-2.8851797756300712</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Torridge</v>
      </c>
      <c r="G60" s="88"/>
      <c r="H60" s="89"/>
      <c r="I60" s="76">
        <f>VLOOKUP($F60,DISABILITY!$A$718:$I$1052,DISABILITY!B$1053,FALSE)</f>
        <v>46.000000000000007</v>
      </c>
      <c r="J60" s="77">
        <f>VLOOKUP($F60,DISABILITY!$A$718:$I$1052,DISABILITY!C$1053,FALSE)</f>
        <v>28.4</v>
      </c>
      <c r="K60" s="77">
        <f>VLOOKUP($F60,DISABILITY!$A$718:$I$1052,DISABILITY!D$1053,FALSE)</f>
        <v>35.499999999999993</v>
      </c>
      <c r="L60" s="77">
        <f>VLOOKUP($F60,DISABILITY!$A$718:$I$1052,DISABILITY!E$1053,FALSE)</f>
        <v>5.2000000000000028</v>
      </c>
      <c r="M60" s="77">
        <f>VLOOKUP($F60,DISABILITY!$A$718:$I$1052,DISABILITY!F$1053,FALSE)</f>
        <v>13.799999999999997</v>
      </c>
      <c r="N60" s="77">
        <f>VLOOKUP($F60,DISABILITY!$A$718:$I$1052,DISABILITY!G$1053,FALSE)</f>
        <v>23</v>
      </c>
      <c r="O60" s="77">
        <f>VLOOKUP($F60,DISABILITY!$A$718:$I$1052,DISABILITY!H$1053,FALSE)</f>
        <v>15.099999999999994</v>
      </c>
      <c r="P60" s="77">
        <f>VLOOKUP($F60,DISABILITY!$A$718:$I$1052,DISABILITY!I$1053,FALSE)</f>
        <v>32.199999999999996</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Torridge to Rural as a Region</v>
      </c>
      <c r="G63" s="102"/>
      <c r="H63" s="103"/>
      <c r="I63" s="74">
        <f>(I60-I61)</f>
        <v>18.579843459352759</v>
      </c>
      <c r="J63" s="74">
        <f t="shared" ref="J63:P63" si="12">(J60-J61)</f>
        <v>1.0809555929488113</v>
      </c>
      <c r="K63" s="74">
        <f t="shared" si="12"/>
        <v>7.3808716385017874</v>
      </c>
      <c r="L63" s="74">
        <f t="shared" si="12"/>
        <v>-20.790934538996673</v>
      </c>
      <c r="M63" s="74">
        <f t="shared" si="12"/>
        <v>-11.675225818666121</v>
      </c>
      <c r="N63" s="74">
        <f t="shared" si="12"/>
        <v>-2.5312476854419828</v>
      </c>
      <c r="O63" s="74">
        <f t="shared" si="12"/>
        <v>-8.6972222879969507</v>
      </c>
      <c r="P63" s="74">
        <f t="shared" si="12"/>
        <v>6.8458220696578209</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Torridge</v>
      </c>
      <c r="G68" s="88"/>
      <c r="H68" s="89"/>
      <c r="I68" s="76">
        <f>VLOOKUP($F68,'WORKLESS HOUSEHOLDS'!$DW$4:$EC$397,7,FALSE)</f>
        <v>12.091164083341196</v>
      </c>
      <c r="J68" s="77">
        <f>VLOOKUP($F68,'WORKLESS HOUSEHOLDS'!$DN$4:$DT$397,7,FALSE)</f>
        <v>5.864821878040118</v>
      </c>
      <c r="K68" s="77">
        <f>VLOOKUP($F68,'WORKLESS HOUSEHOLDS'!$DE$4:$DK$397,7,FALSE)</f>
        <v>14.598642280336335</v>
      </c>
      <c r="L68" s="77">
        <f>VLOOKUP($F68,'WORKLESS HOUSEHOLDS'!$CV$4:$DB$397,7,FALSE)</f>
        <v>4.7126793983918578</v>
      </c>
      <c r="M68" s="77">
        <f>VLOOKUP($F68,'WORKLESS HOUSEHOLDS'!$CM$4:$CS$397,7,FALSE)</f>
        <v>16.615855954319841</v>
      </c>
      <c r="N68" s="77">
        <f>VLOOKUP($F68,'WORKLESS HOUSEHOLDS'!$CD$4:$CJ$397,7,FALSE)</f>
        <v>10.486891385767791</v>
      </c>
      <c r="O68" s="77">
        <f>VLOOKUP($F68,'WORKLESS HOUSEHOLDS'!$BU$4:$CA$397,7,FALSE)</f>
        <v>19.150795037567708</v>
      </c>
      <c r="P68" s="77">
        <f>VLOOKUP($F68,'WORKLESS HOUSEHOLDS'!$BL$4:$BR$397,7,FALSE)</f>
        <v>20.213563132259274</v>
      </c>
      <c r="Q68" s="77" t="str">
        <f>VLOOKUP($F68,'WORKLESS HOUSEHOLDS'!$BC$4:$BI$397,7,FALSE)</f>
        <v>#</v>
      </c>
      <c r="R68" s="77">
        <f>VLOOKUP($F68,'WORKLESS HOUSEHOLDS'!$AT$4:$AZ$397,7,FALSE)</f>
        <v>23.457278481012658</v>
      </c>
      <c r="S68" s="77" t="str">
        <f>VLOOKUP($F68,'WORKLESS HOUSEHOLDS'!$AK$4:$AQ$397,7,FALSE)</f>
        <v>#</v>
      </c>
      <c r="T68" s="77" t="str">
        <f>VLOOKUP($F68,'WORKLESS HOUSEHOLDS'!$AB$4:$AH$397,7,FALSE)</f>
        <v>#</v>
      </c>
      <c r="U68" s="77">
        <f>VLOOKUP($F68,'WORKLESS HOUSEHOLDS'!$S$4:$Y$397,7,FALSE)</f>
        <v>14.026697123277893</v>
      </c>
      <c r="V68" s="77">
        <f>VLOOKUP($F68,'WORKLESS HOUSEHOLDS'!$J$4:$P$397,7,FALSE)</f>
        <v>24.524040012907388</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Torridge to Rural as a Region</v>
      </c>
      <c r="G71" s="102"/>
      <c r="H71" s="103"/>
      <c r="I71" s="74">
        <f>(I68-I69)</f>
        <v>2.0792182207545054</v>
      </c>
      <c r="J71" s="74">
        <f t="shared" ref="J71:W71" si="14">(J68-J69)</f>
        <v>-5.0463329594349062</v>
      </c>
      <c r="K71" s="74">
        <f t="shared" si="14"/>
        <v>4.3053965511804915</v>
      </c>
      <c r="L71" s="74">
        <f t="shared" si="14"/>
        <v>-6.2533272629378747</v>
      </c>
      <c r="M71" s="74">
        <f t="shared" si="14"/>
        <v>4.9220767731313675</v>
      </c>
      <c r="N71" s="74">
        <f t="shared" si="14"/>
        <v>-1.4142082934875901</v>
      </c>
      <c r="O71" s="74">
        <f t="shared" si="14"/>
        <v>8.1155417898251958</v>
      </c>
      <c r="P71" s="74">
        <f t="shared" si="14"/>
        <v>10.522065246491437</v>
      </c>
      <c r="Q71" s="74" t="e">
        <f t="shared" si="14"/>
        <v>#VALUE!</v>
      </c>
      <c r="R71" s="74">
        <f t="shared" si="14"/>
        <v>12.751182157283104</v>
      </c>
      <c r="S71" s="74" t="e">
        <f t="shared" si="14"/>
        <v>#VALUE!</v>
      </c>
      <c r="T71" s="74" t="e">
        <f t="shared" si="14"/>
        <v>#VALUE!</v>
      </c>
      <c r="U71" s="74">
        <f t="shared" si="14"/>
        <v>3.2646469585984175</v>
      </c>
      <c r="V71" s="74">
        <f t="shared" si="14"/>
        <v>14.58517153636774</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Torridge</v>
      </c>
      <c r="G76" s="88"/>
      <c r="H76" s="89"/>
      <c r="I76" s="76">
        <f>VLOOKUP($F76,'SKILLED EMPLOYMENT'!$A$1506:$BW$1841,6,FALSE)</f>
        <v>43.7</v>
      </c>
      <c r="J76" s="77">
        <f>VLOOKUP($F76,'SKILLED EMPLOYMENT'!$A$1506:$BW$1841,10,FALSE)</f>
        <v>48.3</v>
      </c>
      <c r="K76" s="77">
        <f>VLOOKUP($F76,'SKILLED EMPLOYMENT'!$A$1506:$BW$1841,14,FALSE)</f>
        <v>39.699999999999996</v>
      </c>
      <c r="L76" s="77">
        <f>VLOOKUP($F76,'SKILLED EMPLOYMENT'!$A$1506:$BW$1841,18,FALSE)</f>
        <v>42.5</v>
      </c>
      <c r="M76" s="77">
        <f>VLOOKUP($F76,'SKILLED EMPLOYMENT'!$A$1506:$BW$1841,22,FALSE)</f>
        <v>51.7</v>
      </c>
      <c r="N76" s="77">
        <f>VLOOKUP($F76,'SKILLED EMPLOYMENT'!$A$1506:$BW$1841,26,FALSE)</f>
        <v>59.6</v>
      </c>
      <c r="O76" s="77">
        <f>VLOOKUP($F76,'SKILLED EMPLOYMENT'!$A$1506:$BW$1841,30,FALSE)</f>
        <v>52.9</v>
      </c>
      <c r="P76" s="77">
        <f>VLOOKUP($F76,'SKILLED EMPLOYMENT'!$A$1506:$BW$1841,34,FALSE)</f>
        <v>40.099999999999994</v>
      </c>
      <c r="Q76" s="77">
        <f>VLOOKUP($F76,'SKILLED EMPLOYMENT'!$A$1506:$BW$1841,38,FALSE)</f>
        <v>41.3</v>
      </c>
      <c r="R76" s="77">
        <f>VLOOKUP($F76,'SKILLED EMPLOYMENT'!$A$1506:$BW$1841,42,FALSE)</f>
        <v>50.900000000000006</v>
      </c>
      <c r="S76" s="77">
        <f>VLOOKUP($F76,'SKILLED EMPLOYMENT'!$A$1506:$BW$1841,46,FALSE)</f>
        <v>45.3</v>
      </c>
      <c r="T76" s="77">
        <f>VLOOKUP($F76,'SKILLED EMPLOYMENT'!$A$1506:$BW$1841,50,FALSE)</f>
        <v>64.399999999999991</v>
      </c>
      <c r="U76" s="77">
        <f>VLOOKUP($F76,'SKILLED EMPLOYMENT'!$A$1506:$BW$1841,54,FALSE)</f>
        <v>56.2</v>
      </c>
      <c r="V76" s="77">
        <f>VLOOKUP($F76,'SKILLED EMPLOYMENT'!$A$1506:$BW$1841,58,FALSE)</f>
        <v>55.199999999999996</v>
      </c>
      <c r="W76" s="77">
        <f>VLOOKUP($F76,'SKILLED EMPLOYMENT'!$A$1506:$BW$1841,62,FALSE)</f>
        <v>59.3</v>
      </c>
      <c r="X76" s="77">
        <f>VLOOKUP($F76,'SKILLED EMPLOYMENT'!$A$1506:$BW$1841,66,FALSE)</f>
        <v>54.3</v>
      </c>
      <c r="Y76" s="77">
        <f>VLOOKUP($F76,'SKILLED EMPLOYMENT'!$A$1506:$BW$1841,70,FALSE)</f>
        <v>43.6</v>
      </c>
      <c r="Z76" s="77">
        <f>VLOOKUP($F76,'SKILLED EMPLOYMENT'!$A$1506:$BW$1841,74,FALSE)</f>
        <v>50</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Torridge to Rural as a Region</v>
      </c>
      <c r="G79" s="102"/>
      <c r="H79" s="103"/>
      <c r="I79" s="74">
        <f>(I76-I77)</f>
        <v>-9</v>
      </c>
      <c r="J79" s="74">
        <f t="shared" ref="J79:Z79" si="17">(J76-J77)</f>
        <v>-4.6000000000000014</v>
      </c>
      <c r="K79" s="74">
        <f t="shared" si="17"/>
        <v>-13.800000000000004</v>
      </c>
      <c r="L79" s="74">
        <f t="shared" si="17"/>
        <v>-11.5</v>
      </c>
      <c r="M79" s="74">
        <f t="shared" si="17"/>
        <v>-2.3999999999999986</v>
      </c>
      <c r="N79" s="74">
        <f t="shared" si="17"/>
        <v>5.2000000000000028</v>
      </c>
      <c r="O79" s="74">
        <f t="shared" si="17"/>
        <v>-2.5</v>
      </c>
      <c r="P79" s="74">
        <f t="shared" si="17"/>
        <v>-15.500000000000007</v>
      </c>
      <c r="Q79" s="74">
        <f t="shared" si="17"/>
        <v>-14.100000000000001</v>
      </c>
      <c r="R79" s="74">
        <f t="shared" si="17"/>
        <v>-5.2999999999999972</v>
      </c>
      <c r="S79" s="74">
        <f t="shared" si="17"/>
        <v>-10.900000000000006</v>
      </c>
      <c r="T79" s="74">
        <f t="shared" si="17"/>
        <v>7.5999999999999943</v>
      </c>
      <c r="U79" s="74">
        <f t="shared" si="17"/>
        <v>-0.39999999999999858</v>
      </c>
      <c r="V79" s="74">
        <f t="shared" si="17"/>
        <v>-1.9000000000000057</v>
      </c>
      <c r="W79" s="74">
        <f t="shared" si="17"/>
        <v>1.5</v>
      </c>
      <c r="X79" s="74">
        <f t="shared" si="17"/>
        <v>-4.5</v>
      </c>
      <c r="Y79" s="74">
        <f t="shared" si="17"/>
        <v>-15.100000000000001</v>
      </c>
      <c r="Z79" s="74">
        <f t="shared" si="17"/>
        <v>-8.3999999999999986</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N1o31VK1XxS2rTDQkDBHvzE4KEO/uL+j9Plk6RSxtYThE3f9p+/EwI269ZK1yrTR+L1h95o8v1Uayy2RLqn0Cw==" saltValue="V0hS5MXLUGB7NoagPKhL3w=="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2022-08-02T13:26:01Z</dcterms:modified>
</cp:coreProperties>
</file>