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60528B0E-A398-40DC-AD3C-273C1AC26068}" xr6:coauthVersionLast="47" xr6:coauthVersionMax="47" xr10:uidLastSave="{1295E994-4ADB-48A6-9241-C182F4A14B77}"/>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<sst xmlns="http://schemas.openxmlformats.org/spreadsheetml/2006/main" count="32859" uniqueCount="1676">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</sst>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Uttlesford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22.7</c:v>
                </c:pt>
                <c:pt idx="1">
                  <c:v>22.58</c:v>
                </c:pt>
                <c:pt idx="2">
                  <c:v>23.77</c:v>
                </c:pt>
                <c:pt idx="3">
                  <c:v>24.72</c:v>
                </c:pt>
                <c:pt idx="4">
                  <c:v>25.66</c:v>
                </c:pt>
                <c:pt idx="5">
                  <c:v>26.72</c:v>
                </c:pt>
                <c:pt idx="6">
                  <c:v>27.36</c:v>
                </c:pt>
                <c:pt idx="7">
                  <c:v>27.59</c:v>
                </c:pt>
                <c:pt idx="8">
                  <c:v>27.99</c:v>
                </c:pt>
                <c:pt idx="9">
                  <c:v>29.05</c:v>
                </c:pt>
                <c:pt idx="10">
                  <c:v>30.18</c:v>
                </c:pt>
                <c:pt idx="11">
                  <c:v>30.38</c:v>
                </c:pt>
                <c:pt idx="12">
                  <c:v>29.79</c:v>
                </c:pt>
                <c:pt idx="13">
                  <c:v>28.88</c:v>
                </c:pt>
                <c:pt idx="14">
                  <c:v>28.31</c:v>
                </c:pt>
                <c:pt idx="15">
                  <c:v>27.96</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Uttlesford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483.7</c:v>
                </c:pt>
                <c:pt idx="1">
                  <c:v>495.8</c:v>
                </c:pt>
                <c:pt idx="2">
                  <c:v>489.9</c:v>
                </c:pt>
                <c:pt idx="3">
                  <c:v>510.5</c:v>
                </c:pt>
                <c:pt idx="4">
                  <c:v>519.79999999999995</c:v>
                </c:pt>
                <c:pt idx="5">
                  <c:v>518.70000000000005</c:v>
                </c:pt>
                <c:pt idx="6">
                  <c:v>492.7</c:v>
                </c:pt>
                <c:pt idx="7">
                  <c:v>490.2</c:v>
                </c:pt>
                <c:pt idx="8">
                  <c:v>553</c:v>
                </c:pt>
                <c:pt idx="9">
                  <c:v>555.1</c:v>
                </c:pt>
                <c:pt idx="10">
                  <c:v>574.9</c:v>
                </c:pt>
                <c:pt idx="11">
                  <c:v>622.5</c:v>
                </c:pt>
                <c:pt idx="12">
                  <c:v>550.9</c:v>
                </c:pt>
                <c:pt idx="13">
                  <c:v>626.20000000000005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Uttlesford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77.599999999999994</c:v>
                </c:pt>
                <c:pt idx="1">
                  <c:v>80.8</c:v>
                </c:pt>
                <c:pt idx="2">
                  <c:v>81.5</c:v>
                </c:pt>
                <c:pt idx="3">
                  <c:v>82.5</c:v>
                </c:pt>
                <c:pt idx="4">
                  <c:v>79.5</c:v>
                </c:pt>
                <c:pt idx="5">
                  <c:v>80.900000000000006</c:v>
                </c:pt>
                <c:pt idx="6">
                  <c:v>76.7</c:v>
                </c:pt>
                <c:pt idx="7">
                  <c:v>78.8</c:v>
                </c:pt>
                <c:pt idx="8">
                  <c:v>84</c:v>
                </c:pt>
                <c:pt idx="9">
                  <c:v>85.6</c:v>
                </c:pt>
                <c:pt idx="10">
                  <c:v>81.7</c:v>
                </c:pt>
                <c:pt idx="11">
                  <c:v>76.3</c:v>
                </c:pt>
                <c:pt idx="12">
                  <c:v>80.8</c:v>
                </c:pt>
                <c:pt idx="13">
                  <c:v>79.400000000000006</c:v>
                </c:pt>
                <c:pt idx="14">
                  <c:v>73.7</c:v>
                </c:pt>
                <c:pt idx="15">
                  <c:v>83.1</c:v>
                </c:pt>
                <c:pt idx="16">
                  <c:v>73.900000000000006</c:v>
                </c:pt>
                <c:pt idx="17">
                  <c:v>81</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Uttlesford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19786</c:v>
                </c:pt>
                <c:pt idx="1">
                  <c:v>20699</c:v>
                </c:pt>
                <c:pt idx="2">
                  <c:v>20858</c:v>
                </c:pt>
                <c:pt idx="3">
                  <c:v>21454</c:v>
                </c:pt>
                <c:pt idx="4">
                  <c:v>22127</c:v>
                </c:pt>
                <c:pt idx="5">
                  <c:v>21995</c:v>
                </c:pt>
                <c:pt idx="6">
                  <c:v>21556</c:v>
                </c:pt>
                <c:pt idx="7">
                  <c:v>21902</c:v>
                </c:pt>
                <c:pt idx="8">
                  <c:v>22722</c:v>
                </c:pt>
                <c:pt idx="9">
                  <c:v>23042</c:v>
                </c:pt>
                <c:pt idx="10">
                  <c:v>23403</c:v>
                </c:pt>
                <c:pt idx="11">
                  <c:v>25707</c:v>
                </c:pt>
                <c:pt idx="12">
                  <c:v>25831</c:v>
                </c:pt>
                <c:pt idx="13">
                  <c:v>26687</c:v>
                </c:pt>
                <c:pt idx="14">
                  <c:v>28118</c:v>
                </c:pt>
                <c:pt idx="15">
                  <c:v>28090</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Uttlesford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20.3</c:v>
                </c:pt>
                <c:pt idx="1">
                  <c:v>16.899999999999999</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Uttlesford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20.2</c:v>
                </c:pt>
                <c:pt idx="1">
                  <c:v>16.3</c:v>
                </c:pt>
                <c:pt idx="2">
                  <c:v>17.3</c:v>
                </c:pt>
                <c:pt idx="3">
                  <c:v>16.7</c:v>
                </c:pt>
                <c:pt idx="4">
                  <c:v>17.899999999999999</c:v>
                </c:pt>
                <c:pt idx="5">
                  <c:v>17.600000000000001</c:v>
                </c:pt>
                <c:pt idx="6">
                  <c:v>20.100000000000001</c:v>
                </c:pt>
                <c:pt idx="7">
                  <c:v>18.2</c:v>
                </c:pt>
                <c:pt idx="8">
                  <c:v>16</c:v>
                </c:pt>
                <c:pt idx="9">
                  <c:v>13.8</c:v>
                </c:pt>
                <c:pt idx="10">
                  <c:v>18.3</c:v>
                </c:pt>
                <c:pt idx="11">
                  <c:v>19.7</c:v>
                </c:pt>
                <c:pt idx="12">
                  <c:v>19.2</c:v>
                </c:pt>
                <c:pt idx="13">
                  <c:v>18</c:v>
                </c:pt>
                <c:pt idx="14">
                  <c:v>22.8</c:v>
                </c:pt>
                <c:pt idx="15">
                  <c:v>15.8</c:v>
                </c:pt>
                <c:pt idx="16">
                  <c:v>23.8</c:v>
                </c:pt>
                <c:pt idx="17">
                  <c:v>16.7</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Uttlesford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26.200000000000003</c:v>
                </c:pt>
                <c:pt idx="1">
                  <c:v>16.899999999999999</c:v>
                </c:pt>
                <c:pt idx="2">
                  <c:v>32.099999999999994</c:v>
                </c:pt>
                <c:pt idx="3">
                  <c:v>22.600000000000009</c:v>
                </c:pt>
                <c:pt idx="4">
                  <c:v>14.799999999999997</c:v>
                </c:pt>
                <c:pt idx="5">
                  <c:v>14.200000000000003</c:v>
                </c:pt>
                <c:pt idx="6">
                  <c:v>14.799999999999997</c:v>
                </c:pt>
                <c:pt idx="7">
                  <c:v>8.6000000000000085</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Uttlesford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6.4405414604064655</c:v>
                </c:pt>
                <c:pt idx="1">
                  <c:v>7.7385097854606126</c:v>
                </c:pt>
                <c:pt idx="2">
                  <c:v>0</c:v>
                </c:pt>
                <c:pt idx="3">
                  <c:v>8.9632116532073134</c:v>
                </c:pt>
                <c:pt idx="4">
                  <c:v>0</c:v>
                </c:pt>
                <c:pt idx="5">
                  <c:v>12.45911172494003</c:v>
                </c:pt>
                <c:pt idx="6">
                  <c:v>0</c:v>
                </c:pt>
                <c:pt idx="7">
                  <c:v>2.2479517909133997</c:v>
                </c:pt>
                <c:pt idx="8">
                  <c:v>0</c:v>
                </c:pt>
                <c:pt idx="9">
                  <c:v>0</c:v>
                </c:pt>
                <c:pt idx="10">
                  <c:v>0</c:v>
                </c:pt>
                <c:pt idx="11">
                  <c:v>0</c:v>
                </c:pt>
                <c:pt idx="12">
                  <c:v>10.135086841540991</c:v>
                </c:pt>
                <c:pt idx="13">
                  <c:v>0</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Uttlesford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61.400000000000006</c:v>
                </c:pt>
                <c:pt idx="1">
                  <c:v>60.300000000000004</c:v>
                </c:pt>
                <c:pt idx="2">
                  <c:v>57.300000000000004</c:v>
                </c:pt>
                <c:pt idx="3">
                  <c:v>54.600000000000009</c:v>
                </c:pt>
                <c:pt idx="4">
                  <c:v>61.3</c:v>
                </c:pt>
                <c:pt idx="5">
                  <c:v>63.800000000000004</c:v>
                </c:pt>
                <c:pt idx="6">
                  <c:v>59.699999999999996</c:v>
                </c:pt>
                <c:pt idx="7">
                  <c:v>63.900000000000006</c:v>
                </c:pt>
                <c:pt idx="8">
                  <c:v>59.5</c:v>
                </c:pt>
                <c:pt idx="9">
                  <c:v>63.9</c:v>
                </c:pt>
                <c:pt idx="10">
                  <c:v>56.7</c:v>
                </c:pt>
                <c:pt idx="11">
                  <c:v>53.7</c:v>
                </c:pt>
                <c:pt idx="12">
                  <c:v>68.599999999999994</c:v>
                </c:pt>
                <c:pt idx="13">
                  <c:v>66.2</c:v>
                </c:pt>
                <c:pt idx="14">
                  <c:v>58</c:v>
                </c:pt>
                <c:pt idx="15">
                  <c:v>68.5</c:v>
                </c:pt>
                <c:pt idx="16">
                  <c:v>73.7</c:v>
                </c:pt>
                <c:pt idx="17">
                  <c:v>69.3</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Uttlesford is generally above both the rural and England situation.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for Uttlesford increased between 2004 and 2019 at a rate similar to both England and rural maintaining its higher position with a stable gap.</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dropped between 2017 and 2018 for Uttlesford, moving it further below the situation for rural and England.</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Uttlesford's economic inactivity rate has fluctuated between 2004 and 2021 but is generally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Uttlesford is generally below both that of rural and England and has reduced to a low of 9% in 2021.</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Uttlesford is difficult to interpret with any clarity due to lack of data.</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Uttlesford has a consistently higher proportion of employed people in skilled employment than seen for both 'Rural as a Region' and England.</a:t>
          </a:r>
          <a:endParaRPr lang="en-GB" sz="1100">
            <a:latin typeface="Avenir Next LT Pro" panose="020B0504020202020204" pitchFamily="34" charset="0"/>
          </a:endParaRPr>
        </a:p>
      </xdr:txBody>
    </xdr:sp>
    <xdr:clientData/>
  </xdr:twoCellAnchor>
  <xdr:twoCellAnchor>
    <xdr:from>
      <xdr:col>0</xdr:col>
      <xdr:colOff>601980</xdr:colOff>
      <xdr:row>12</xdr:row>
      <xdr:rowOff>510540</xdr:rowOff>
    </xdr:from>
    <xdr:to>
      <xdr:col>1</xdr:col>
      <xdr:colOff>2583180</xdr:colOff>
      <xdr:row>14</xdr:row>
      <xdr:rowOff>167640</xdr:rowOff>
    </xdr:to>
    <xdr:sp macro="" textlink="">
      <xdr:nvSpPr>
        <xdr:cNvPr id="20" name="TextBox 19">
          <a:extLst>
            <a:ext uri="{FF2B5EF4-FFF2-40B4-BE49-F238E27FC236}">
              <a16:creationId xmlns:a16="http://schemas.microsoft.com/office/drawing/2014/main" id="{4B0E2D13-95A1-41F6-A018-D839476D946F}"/>
            </a:ext>
          </a:extLst>
        </xdr:cNvPr>
        <xdr:cNvSpPr txBox="1"/>
      </xdr:nvSpPr>
      <xdr:spPr>
        <a:xfrm>
          <a:off x="601980" y="3497580"/>
          <a:ext cx="6682740" cy="9525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Uttlesford was in 2004 below that seen for both England and rural, however a higher rate of increase to 2014 saw it increase beyond 'Rural as a Region'.  Uttlesford from 2015 saw reduced GVA per hour worked which took it below the rural position in 2019.</a:t>
          </a:r>
          <a:endParaRPr lang="en-GB" sz="1100">
            <a:latin typeface="Avenir Next LT Pro" panose="020B0504020202020204" pitchFamily="34" charset="0"/>
          </a:endParaRPr>
        </a:p>
      </xdr:txBody>
    </xdr:sp>
    <xdr:clientData/>
  </xdr:twoCellAnchor>
  <xdr:twoCellAnchor>
    <xdr:from>
      <xdr:col>0</xdr:col>
      <xdr:colOff>601980</xdr:colOff>
      <xdr:row>20</xdr:row>
      <xdr:rowOff>624840</xdr:rowOff>
    </xdr:from>
    <xdr:to>
      <xdr:col>1</xdr:col>
      <xdr:colOff>2583180</xdr:colOff>
      <xdr:row>22</xdr:row>
      <xdr:rowOff>152400</xdr:rowOff>
    </xdr:to>
    <xdr:sp macro="" textlink="">
      <xdr:nvSpPr>
        <xdr:cNvPr id="21" name="TextBox 20">
          <a:extLst>
            <a:ext uri="{FF2B5EF4-FFF2-40B4-BE49-F238E27FC236}">
              <a16:creationId xmlns:a16="http://schemas.microsoft.com/office/drawing/2014/main" id="{453BF6D4-107D-41D2-B247-5819254A1043}"/>
            </a:ext>
          </a:extLst>
        </xdr:cNvPr>
        <xdr:cNvSpPr txBox="1"/>
      </xdr:nvSpPr>
      <xdr:spPr>
        <a:xfrm>
          <a:off x="601980" y="755142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Uttlesford has fluctuated a little over the years, but generally follows the England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359</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Uttlesford</v>
      </c>
      <c r="G12" s="88" t="str">
        <f>IFERROR(VLOOKUP(F12,GVA!B244:B552,1,FALSE),VLOOKUP(F12,GVA!B6:C230,2,FALSE))</f>
        <v>Uttlesford</v>
      </c>
      <c r="H12" s="89" t="str">
        <f>IF(F12=G12,"",G12)</f>
        <v/>
      </c>
      <c r="I12" s="76">
        <f>IFERROR(VLOOKUP($F12,GVA!$B$7:$S$230,GVA!D$3,FALSE),VLOOKUP($F12,GVA!$B$244:$T$554,GVA!E$3,FALSE))</f>
        <v>22.7</v>
      </c>
      <c r="J12" s="77">
        <f>IFERROR(VLOOKUP($F12,GVA!$B$7:$S$230,GVA!E$3,FALSE),VLOOKUP($F12,GVA!$B$244:$T$554,GVA!F$3,FALSE))</f>
        <v>22.58</v>
      </c>
      <c r="K12" s="77">
        <f>IFERROR(VLOOKUP($F12,GVA!$B$7:$S$230,GVA!F$3,FALSE),VLOOKUP($F12,GVA!$B$244:$T$554,GVA!G$3,FALSE))</f>
        <v>23.77</v>
      </c>
      <c r="L12" s="77">
        <f>IFERROR(VLOOKUP($F12,GVA!$B$7:$S$230,GVA!G$3,FALSE),VLOOKUP($F12,GVA!$B$244:$T$554,GVA!H$3,FALSE))</f>
        <v>24.72</v>
      </c>
      <c r="M12" s="77">
        <f>IFERROR(VLOOKUP($F12,GVA!$B$7:$S$230,GVA!H$3,FALSE),VLOOKUP($F12,GVA!$B$244:$T$554,GVA!I$3,FALSE))</f>
        <v>25.66</v>
      </c>
      <c r="N12" s="77">
        <f>IFERROR(VLOOKUP($F12,GVA!$B$7:$S$230,GVA!I$3,FALSE),VLOOKUP($F12,GVA!$B$244:$T$554,GVA!J$3,FALSE))</f>
        <v>26.72</v>
      </c>
      <c r="O12" s="77">
        <f>IFERROR(VLOOKUP($F12,GVA!$B$7:$S$230,GVA!J$3,FALSE),VLOOKUP($F12,GVA!$B$244:$T$554,GVA!K$3,FALSE))</f>
        <v>27.36</v>
      </c>
      <c r="P12" s="77">
        <f>IFERROR(VLOOKUP($F12,GVA!$B$7:$S$230,GVA!K$3,FALSE),VLOOKUP($F12,GVA!$B$244:$T$554,GVA!L$3,FALSE))</f>
        <v>27.59</v>
      </c>
      <c r="Q12" s="77">
        <f>IFERROR(VLOOKUP($F12,GVA!$B$7:$S$230,GVA!L$3,FALSE),VLOOKUP($F12,GVA!$B$244:$T$554,GVA!M$3,FALSE))</f>
        <v>27.99</v>
      </c>
      <c r="R12" s="77">
        <f>IFERROR(VLOOKUP($F12,GVA!$B$7:$S$230,GVA!M$3,FALSE),VLOOKUP($F12,GVA!$B$244:$T$554,GVA!N$3,FALSE))</f>
        <v>29.05</v>
      </c>
      <c r="S12" s="77">
        <f>IFERROR(VLOOKUP($F12,GVA!$B$7:$S$230,GVA!N$3,FALSE),VLOOKUP($F12,GVA!$B$244:$T$554,GVA!O$3,FALSE))</f>
        <v>30.18</v>
      </c>
      <c r="T12" s="77">
        <f>IFERROR(VLOOKUP($F12,GVA!$B$7:$S$230,GVA!O$3,FALSE),VLOOKUP($F12,GVA!$B$244:$T$554,GVA!P$3,FALSE))</f>
        <v>30.38</v>
      </c>
      <c r="U12" s="77">
        <f>IFERROR(VLOOKUP($F12,GVA!$B$7:$S$230,GVA!P$3,FALSE),VLOOKUP($F12,GVA!$B$244:$T$554,GVA!Q$3,FALSE))</f>
        <v>29.79</v>
      </c>
      <c r="V12" s="77">
        <f>IFERROR(VLOOKUP($F12,GVA!$B$7:$S$230,GVA!Q$3,FALSE),VLOOKUP($F12,GVA!$B$244:$T$554,GVA!R$3,FALSE))</f>
        <v>28.88</v>
      </c>
      <c r="W12" s="77">
        <f>IFERROR(VLOOKUP($F12,GVA!$B$7:$S$230,GVA!R$3,FALSE),VLOOKUP($F12,GVA!$B$244:$T$554,GVA!S$3,FALSE))</f>
        <v>28.31</v>
      </c>
      <c r="X12" s="77">
        <f>IFERROR(VLOOKUP($F12,GVA!$B$7:$S$230,GVA!S$3,FALSE),VLOOKUP($F12,GVA!$B$244:$T$554,GVA!T$3,FALSE))</f>
        <v>27.96</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Uttlesford to Rural as a Region</v>
      </c>
      <c r="G15" s="102"/>
      <c r="H15" s="103"/>
      <c r="I15" s="74">
        <f>100*((I12-I13)/I13)</f>
        <v>-3.5688818986835624</v>
      </c>
      <c r="J15" s="74">
        <f t="shared" ref="J15:X15" si="0">100*((J12-J13)/J13)</f>
        <v>-3.8115909690244942</v>
      </c>
      <c r="K15" s="74">
        <f t="shared" si="0"/>
        <v>-2.1968817504519249</v>
      </c>
      <c r="L15" s="74">
        <f t="shared" si="0"/>
        <v>-0.47736814861681015</v>
      </c>
      <c r="M15" s="74">
        <f t="shared" si="0"/>
        <v>1.5648633748462877</v>
      </c>
      <c r="N15" s="74">
        <f t="shared" si="0"/>
        <v>4.8964579312149699</v>
      </c>
      <c r="O15" s="74">
        <f t="shared" si="0"/>
        <v>6.0871411624053424</v>
      </c>
      <c r="P15" s="74">
        <f t="shared" si="0"/>
        <v>5.407359903941944</v>
      </c>
      <c r="Q15" s="74">
        <f t="shared" si="0"/>
        <v>4.7894103489771176</v>
      </c>
      <c r="R15" s="74">
        <f t="shared" si="0"/>
        <v>6.9039389120348655</v>
      </c>
      <c r="S15" s="74">
        <f t="shared" si="0"/>
        <v>9.2502811930341302</v>
      </c>
      <c r="T15" s="74">
        <f t="shared" si="0"/>
        <v>7.9291502427636278</v>
      </c>
      <c r="U15" s="74">
        <f t="shared" si="0"/>
        <v>3.3046967564019676</v>
      </c>
      <c r="V15" s="74">
        <f t="shared" si="0"/>
        <v>-2.5010550007033263</v>
      </c>
      <c r="W15" s="74">
        <f t="shared" si="0"/>
        <v>-6.3649500529591601</v>
      </c>
      <c r="X15" s="74">
        <f t="shared" si="0"/>
        <v>-8.4818279942797368</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Uttlesford</v>
      </c>
      <c r="G20" s="88"/>
      <c r="H20" s="89"/>
      <c r="I20" s="80">
        <f>IF(VLOOKUP($F20,PAY!$A$11:$AE$349,4,FALSE)="-",#N/A,VLOOKUP($F20,PAY!$A$11:$AE$349,4,FALSE))</f>
        <v>483.7</v>
      </c>
      <c r="J20" s="80">
        <f>IF(VLOOKUP($F20,PAY!$A$11:$AE$349,6,FALSE)="-",#N/A,VLOOKUP($F20,PAY!$A$11:$AE$349,6,FALSE))</f>
        <v>495.8</v>
      </c>
      <c r="K20" s="80">
        <f>IF(VLOOKUP($F20,PAY!$A$11:$AE$349,8,FALSE)="-",#N/A,VLOOKUP($F20,PAY!$A$11:$AE$349,8,FALSE))</f>
        <v>489.9</v>
      </c>
      <c r="L20" s="80">
        <f>IF(VLOOKUP($F20,PAY!$A$11:$AE$349,10,FALSE)="-",#N/A,VLOOKUP($F20,PAY!$A$11:$AE$349,10,FALSE))</f>
        <v>510.5</v>
      </c>
      <c r="M20" s="80">
        <f>IF(VLOOKUP($F20,PAY!$A$11:$AE$349,12,FALSE)="-",#N/A,VLOOKUP($F20,PAY!$A$11:$AE$349,12,FALSE))</f>
        <v>519.79999999999995</v>
      </c>
      <c r="N20" s="80">
        <f>IF(VLOOKUP($F20,PAY!$A$11:$AE$349,14,FALSE)="-",#N/A,VLOOKUP($F20,PAY!$A$11:$AE$349,14,FALSE))</f>
        <v>518.70000000000005</v>
      </c>
      <c r="O20" s="80">
        <f>IF(VLOOKUP($F20,PAY!$A$11:$AE$349,16,FALSE)="-",#N/A,VLOOKUP($F20,PAY!$A$11:$AE$349,16,FALSE))</f>
        <v>492.7</v>
      </c>
      <c r="P20" s="80">
        <f>IF(VLOOKUP($F20,PAY!$A$11:$AE$349,18,FALSE)="-",#N/A,VLOOKUP($F20,PAY!$A$11:$AE$349,18,FALSE))</f>
        <v>490.2</v>
      </c>
      <c r="Q20" s="80">
        <f>IF(VLOOKUP($F20,PAY!$A$11:$AE$349,20,FALSE)="-",#N/A,VLOOKUP($F20,PAY!$A$11:$AE$349,20,FALSE))</f>
        <v>553</v>
      </c>
      <c r="R20" s="80">
        <f>IF(VLOOKUP($F20,PAY!$A$11:$AE$349,22,FALSE)="-",#N/A,VLOOKUP($F20,PAY!$A$11:$AE$349,22,FALSE))</f>
        <v>555.1</v>
      </c>
      <c r="S20" s="80">
        <f>IF(VLOOKUP($F20,PAY!$A$11:$AE$349,24,FALSE)="-",#N/A,VLOOKUP($F20,PAY!$A$11:$AE$349,24,FALSE))</f>
        <v>574.9</v>
      </c>
      <c r="T20" s="80">
        <f>IF(VLOOKUP($F20,PAY!$A$11:$AE$349,26,FALSE)="-",#N/A,VLOOKUP($F20,PAY!$A$11:$AE$349,26,FALSE))</f>
        <v>622.5</v>
      </c>
      <c r="U20" s="80">
        <f>IF(VLOOKUP($F20,PAY!$A$11:$AE$349,28,FALSE)="-",#N/A,VLOOKUP($F20,PAY!$A$11:$AE$349,28,FALSE))</f>
        <v>550.9</v>
      </c>
      <c r="V20" s="80">
        <f>IF(VLOOKUP($F20,PAY!$A$11:$AE$349,30,FALSE)="-",#N/A,VLOOKUP($F20,PAY!$A$11:$AE$349,30,FALSE))</f>
        <v>626.20000000000005</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Uttlesford to Rural as a Region</v>
      </c>
      <c r="G23" s="102"/>
      <c r="H23" s="103"/>
      <c r="I23" s="74">
        <f>100*((I20-I21)/I21)</f>
        <v>11.710966368866645</v>
      </c>
      <c r="J23" s="74">
        <f t="shared" ref="J23:V23" si="2">100*((J20-J21)/J21)</f>
        <v>13.474852663500601</v>
      </c>
      <c r="K23" s="74">
        <f t="shared" si="2"/>
        <v>9.3251866477970573</v>
      </c>
      <c r="L23" s="74">
        <f t="shared" si="2"/>
        <v>13.280021122646193</v>
      </c>
      <c r="M23" s="74">
        <f t="shared" si="2"/>
        <v>14.180768653271841</v>
      </c>
      <c r="N23" s="74">
        <f t="shared" si="2"/>
        <v>11.988598164555937</v>
      </c>
      <c r="O23" s="74">
        <f t="shared" si="2"/>
        <v>4.651094011303079</v>
      </c>
      <c r="P23" s="74">
        <f t="shared" si="2"/>
        <v>3.2387919244806116</v>
      </c>
      <c r="Q23" s="74">
        <f t="shared" si="2"/>
        <v>12.976510960948135</v>
      </c>
      <c r="R23" s="74">
        <f t="shared" si="2"/>
        <v>10.126442410316335</v>
      </c>
      <c r="S23" s="74">
        <f t="shared" si="2"/>
        <v>11.755711437573051</v>
      </c>
      <c r="T23" s="74">
        <f t="shared" si="2"/>
        <v>16.638821164960628</v>
      </c>
      <c r="U23" s="74">
        <f t="shared" si="2"/>
        <v>3.7382308233319326</v>
      </c>
      <c r="V23" s="74">
        <f t="shared" si="2"/>
        <v>10.978346511334903</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Uttlesford</v>
      </c>
      <c r="G28" s="88"/>
      <c r="H28" s="89"/>
      <c r="I28" s="76">
        <f>VLOOKUP($F28,EMPLOYMENT!$A$6:$BW$345,6,FALSE)</f>
        <v>77.599999999999994</v>
      </c>
      <c r="J28" s="77">
        <f>VLOOKUP($F28,EMPLOYMENT!$A$6:$BW$345,10,FALSE)</f>
        <v>80.8</v>
      </c>
      <c r="K28" s="77">
        <f>VLOOKUP($F28,EMPLOYMENT!$A$6:$BW$345,14,FALSE)</f>
        <v>81.5</v>
      </c>
      <c r="L28" s="77">
        <f>VLOOKUP($F28,EMPLOYMENT!$A$6:$BW$345,18,FALSE)</f>
        <v>82.5</v>
      </c>
      <c r="M28" s="77">
        <f>VLOOKUP($F28,EMPLOYMENT!$A$6:$BW$345,22,FALSE)</f>
        <v>79.5</v>
      </c>
      <c r="N28" s="77">
        <f>VLOOKUP($F28,EMPLOYMENT!$A$6:$BW$345,26,FALSE)</f>
        <v>80.900000000000006</v>
      </c>
      <c r="O28" s="77">
        <f>VLOOKUP($F28,EMPLOYMENT!$A$6:$BW$345,30,FALSE)</f>
        <v>76.7</v>
      </c>
      <c r="P28" s="77">
        <f>VLOOKUP($F28,EMPLOYMENT!$A$6:$BW$345,34,FALSE)</f>
        <v>78.8</v>
      </c>
      <c r="Q28" s="77">
        <f>VLOOKUP($F28,EMPLOYMENT!$A$6:$BW$345,38,FALSE)</f>
        <v>84</v>
      </c>
      <c r="R28" s="77">
        <f>VLOOKUP($F28,EMPLOYMENT!$A$6:$BW$345,42,FALSE)</f>
        <v>85.6</v>
      </c>
      <c r="S28" s="77">
        <f>VLOOKUP($F28,EMPLOYMENT!$A$6:$BW$345,46,FALSE)</f>
        <v>81.7</v>
      </c>
      <c r="T28" s="77">
        <f>VLOOKUP($F28,EMPLOYMENT!$A$6:$BW$345,50,FALSE)</f>
        <v>76.3</v>
      </c>
      <c r="U28" s="77">
        <f>VLOOKUP($F28,EMPLOYMENT!$A$6:$BW$345,54,FALSE)</f>
        <v>80.8</v>
      </c>
      <c r="V28" s="77">
        <f>VLOOKUP($F28,EMPLOYMENT!$A$6:$BW$345,58,FALSE)</f>
        <v>79.400000000000006</v>
      </c>
      <c r="W28" s="77">
        <f>VLOOKUP($F28,EMPLOYMENT!$A$6:$BW$345,62,FALSE)</f>
        <v>73.7</v>
      </c>
      <c r="X28" s="77">
        <f>VLOOKUP($F28,EMPLOYMENT!$A$6:$BW$345,66,FALSE)</f>
        <v>83.1</v>
      </c>
      <c r="Y28" s="77">
        <f>VLOOKUP($F28,EMPLOYMENT!$A$6:$BW$345,70,FALSE)</f>
        <v>73.900000000000006</v>
      </c>
      <c r="Z28" s="77">
        <f>VLOOKUP($F28,EMPLOYMENT!$A$6:$BW$345,74,FALSE)</f>
        <v>81</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Uttlesford to Rural as a Region</v>
      </c>
      <c r="G31" s="102"/>
      <c r="H31" s="103"/>
      <c r="I31" s="74">
        <f>(I28-I29)</f>
        <v>1.4886580805982561</v>
      </c>
      <c r="J31" s="74">
        <f t="shared" ref="J31:Z31" si="4">(J28-J29)</f>
        <v>4.4870245333170402</v>
      </c>
      <c r="K31" s="74">
        <f t="shared" si="4"/>
        <v>5.6268111005132369</v>
      </c>
      <c r="L31" s="74">
        <f t="shared" si="4"/>
        <v>6.8595316973721623</v>
      </c>
      <c r="M31" s="74">
        <f t="shared" si="4"/>
        <v>3.7644756266682577</v>
      </c>
      <c r="N31" s="74">
        <f t="shared" si="4"/>
        <v>6.3904601571268245</v>
      </c>
      <c r="O31" s="74">
        <f t="shared" si="4"/>
        <v>3.1528668610301338</v>
      </c>
      <c r="P31" s="74">
        <f t="shared" si="4"/>
        <v>5.0657045967223837</v>
      </c>
      <c r="Q31" s="74">
        <f t="shared" si="4"/>
        <v>9.9668425245374266</v>
      </c>
      <c r="R31" s="74">
        <f t="shared" si="4"/>
        <v>10.855525070099787</v>
      </c>
      <c r="S31" s="74">
        <f t="shared" si="4"/>
        <v>5.5911396599243943</v>
      </c>
      <c r="T31" s="74">
        <f t="shared" si="4"/>
        <v>-0.8905319756090222</v>
      </c>
      <c r="U31" s="74">
        <f t="shared" si="4"/>
        <v>3.8283675182919552</v>
      </c>
      <c r="V31" s="74">
        <f t="shared" si="4"/>
        <v>1.367213114754108</v>
      </c>
      <c r="W31" s="74">
        <f t="shared" si="4"/>
        <v>-4.3481568934141421</v>
      </c>
      <c r="X31" s="74">
        <f t="shared" si="4"/>
        <v>4.5087006210432889</v>
      </c>
      <c r="Y31" s="74">
        <f t="shared" si="4"/>
        <v>-3.1143462961291988</v>
      </c>
      <c r="Z31" s="74">
        <f t="shared" si="4"/>
        <v>4.8442419221209576</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Uttlesford</v>
      </c>
      <c r="G36" s="88" t="str">
        <f>IFERROR(VLOOKUP(F36,GDHI!B338:C574,2,FALSE),VLOOKUP(F36,GDHI!C3:C336,1,FALSE))</f>
        <v>Uttlesford</v>
      </c>
      <c r="H36" s="89" t="str">
        <f>IF(F36=G36,"",G36)</f>
        <v/>
      </c>
      <c r="I36" s="83">
        <f>IFERROR(VLOOKUP($F36,GDHI!$B$338:$U$574,GDHI!G$578,FALSE),VLOOKUP($F36,GDHI!$C$3:$U$336,GDHI!F$578,FALSE))</f>
        <v>19786</v>
      </c>
      <c r="J36" s="84">
        <f>IFERROR(VLOOKUP($F36,GDHI!$B$338:$U$574,GDHI!H$578,FALSE),VLOOKUP($F36,GDHI!$C$3:$U$336,GDHI!G$578,FALSE))</f>
        <v>20699</v>
      </c>
      <c r="K36" s="84">
        <f>IFERROR(VLOOKUP($F36,GDHI!$B$338:$U$574,GDHI!I$578,FALSE),VLOOKUP($F36,GDHI!$C$3:$U$336,GDHI!H$578,FALSE))</f>
        <v>20858</v>
      </c>
      <c r="L36" s="84">
        <f>IFERROR(VLOOKUP($F36,GDHI!$B$338:$U$574,GDHI!J$578,FALSE),VLOOKUP($F36,GDHI!$C$3:$U$336,GDHI!I$578,FALSE))</f>
        <v>21454</v>
      </c>
      <c r="M36" s="84">
        <f>IFERROR(VLOOKUP($F36,GDHI!$B$338:$U$574,GDHI!K$578,FALSE),VLOOKUP($F36,GDHI!$C$3:$U$336,GDHI!J$578,FALSE))</f>
        <v>22127</v>
      </c>
      <c r="N36" s="84">
        <f>IFERROR(VLOOKUP($F36,GDHI!$B$338:$U$574,GDHI!L$578,FALSE),VLOOKUP($F36,GDHI!$C$3:$U$336,GDHI!K$578,FALSE))</f>
        <v>21995</v>
      </c>
      <c r="O36" s="84">
        <f>IFERROR(VLOOKUP($F36,GDHI!$B$338:$U$574,GDHI!M$578,FALSE),VLOOKUP($F36,GDHI!$C$3:$U$336,GDHI!L$578,FALSE))</f>
        <v>21556</v>
      </c>
      <c r="P36" s="84">
        <f>IFERROR(VLOOKUP($F36,GDHI!$B$338:$U$574,GDHI!N$578,FALSE),VLOOKUP($F36,GDHI!$C$3:$U$336,GDHI!M$578,FALSE))</f>
        <v>21902</v>
      </c>
      <c r="Q36" s="84">
        <f>IFERROR(VLOOKUP($F36,GDHI!$B$338:$U$574,GDHI!O$578,FALSE),VLOOKUP($F36,GDHI!$C$3:$U$336,GDHI!N$578,FALSE))</f>
        <v>22722</v>
      </c>
      <c r="R36" s="84">
        <f>IFERROR(VLOOKUP($F36,GDHI!$B$338:$U$574,GDHI!P$578,FALSE),VLOOKUP($F36,GDHI!$C$3:$U$336,GDHI!O$578,FALSE))</f>
        <v>23042</v>
      </c>
      <c r="S36" s="84">
        <f>IFERROR(VLOOKUP($F36,GDHI!$B$338:$U$574,GDHI!Q$578,FALSE),VLOOKUP($F36,GDHI!$C$3:$U$336,GDHI!P$578,FALSE))</f>
        <v>23403</v>
      </c>
      <c r="T36" s="84">
        <f>IFERROR(VLOOKUP($F36,GDHI!$B$338:$U$574,GDHI!R$578,FALSE),VLOOKUP($F36,GDHI!$C$3:$U$336,GDHI!Q$578,FALSE))</f>
        <v>25707</v>
      </c>
      <c r="U36" s="84">
        <f>IFERROR(VLOOKUP($F36,GDHI!$B$338:$U$574,GDHI!S$578,FALSE),VLOOKUP($F36,GDHI!$C$3:$U$336,GDHI!R$578,FALSE))</f>
        <v>25831</v>
      </c>
      <c r="V36" s="84">
        <f>IFERROR(VLOOKUP($F36,GDHI!$B$338:$U$574,GDHI!T$578,FALSE),VLOOKUP($F36,GDHI!$C$3:$U$336,GDHI!S$578,FALSE))</f>
        <v>26687</v>
      </c>
      <c r="W36" s="84">
        <f>IFERROR(VLOOKUP($F36,GDHI!$B$338:$U$574,GDHI!U$578,FALSE),VLOOKUP($F36,GDHI!$C$3:$U$336,GDHI!T$578,FALSE))</f>
        <v>28118</v>
      </c>
      <c r="X36" s="84">
        <f>IFERROR(VLOOKUP($F36,GDHI!$B$338:$U$574,GDHI!V$578,FALSE),VLOOKUP($F36,GDHI!$C$3:$U$336,GDHI!U$578,FALSE))</f>
        <v>28090</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Uttlesford to Rural as a Region</v>
      </c>
      <c r="G39" s="102"/>
      <c r="H39" s="103"/>
      <c r="I39" s="74">
        <f>100*((I36-I37)/I37)</f>
        <v>34.511710119310649</v>
      </c>
      <c r="J39" s="74">
        <f t="shared" ref="J39:X39" si="6">100*((J36-J37)/J37)</f>
        <v>34.922141321242414</v>
      </c>
      <c r="K39" s="74">
        <f t="shared" si="6"/>
        <v>30.983208373609767</v>
      </c>
      <c r="L39" s="74">
        <f t="shared" si="6"/>
        <v>29.489188612421824</v>
      </c>
      <c r="M39" s="74">
        <f t="shared" si="6"/>
        <v>29.675446497404995</v>
      </c>
      <c r="N39" s="74">
        <f t="shared" si="6"/>
        <v>27.19080548394091</v>
      </c>
      <c r="O39" s="74">
        <f t="shared" si="6"/>
        <v>23.121445060567829</v>
      </c>
      <c r="P39" s="74">
        <f t="shared" si="6"/>
        <v>23.044614647900893</v>
      </c>
      <c r="Q39" s="74">
        <f t="shared" si="6"/>
        <v>23.715333548530126</v>
      </c>
      <c r="R39" s="74">
        <f t="shared" si="6"/>
        <v>22.08367420183157</v>
      </c>
      <c r="S39" s="74">
        <f t="shared" si="6"/>
        <v>20.658676570506863</v>
      </c>
      <c r="T39" s="74">
        <f t="shared" si="6"/>
        <v>25.655250910385913</v>
      </c>
      <c r="U39" s="74">
        <f t="shared" si="6"/>
        <v>25.241790438281956</v>
      </c>
      <c r="V39" s="74">
        <f t="shared" si="6"/>
        <v>27.290144063287681</v>
      </c>
      <c r="W39" s="74">
        <f t="shared" si="6"/>
        <v>28.73433410475069</v>
      </c>
      <c r="X39" s="74">
        <f t="shared" si="6"/>
        <v>26.161395861883108</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Uttlesford</v>
      </c>
      <c r="G44" s="88"/>
      <c r="H44" s="89"/>
      <c r="I44" s="76">
        <f>VLOOKUP($F44,'LOW PAID'!$A$9:$N$444,6,FALSE)</f>
        <v>20.3</v>
      </c>
      <c r="J44" s="77">
        <f>VLOOKUP($F44,'LOW PAID'!$P$9:$W$444,6,FALSE)</f>
        <v>16.899999999999999</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Uttlesford to Rural as a Region</v>
      </c>
      <c r="G47" s="102"/>
      <c r="H47" s="103"/>
      <c r="I47" s="74">
        <f>(I44-I45)</f>
        <v>-4.8938746782131162</v>
      </c>
      <c r="J47" s="74">
        <f>(J44-J45)</f>
        <v>-8.7861165090300553</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Uttlesford</v>
      </c>
      <c r="G52" s="88"/>
      <c r="H52" s="89"/>
      <c r="I52" s="76">
        <f>VLOOKUP($F52,INACTIVITY!$A$6:$BW$345,6,FALSE)</f>
        <v>20.2</v>
      </c>
      <c r="J52" s="77">
        <f>VLOOKUP($F52,INACTIVITY!$A$6:$BW$345,10,FALSE)</f>
        <v>16.3</v>
      </c>
      <c r="K52" s="77">
        <f>VLOOKUP($F52,INACTIVITY!$A$6:$BW$345,14,FALSE)</f>
        <v>17.3</v>
      </c>
      <c r="L52" s="77">
        <f>VLOOKUP($F52,INACTIVITY!$A$6:$BW$345,18,FALSE)</f>
        <v>16.7</v>
      </c>
      <c r="M52" s="77">
        <f>VLOOKUP($F52,INACTIVITY!$A$6:$BW$345,22,FALSE)</f>
        <v>17.899999999999999</v>
      </c>
      <c r="N52" s="77">
        <f>VLOOKUP($F52,INACTIVITY!$A$6:$BW$345,26,FALSE)</f>
        <v>17.600000000000001</v>
      </c>
      <c r="O52" s="77">
        <f>VLOOKUP($F52,INACTIVITY!$A$6:$BW$345,30,FALSE)</f>
        <v>20.100000000000001</v>
      </c>
      <c r="P52" s="77">
        <f>VLOOKUP($F52,INACTIVITY!$A$6:$BW$345,34,FALSE)</f>
        <v>18.2</v>
      </c>
      <c r="Q52" s="77">
        <f>VLOOKUP($F52,INACTIVITY!$A$6:$BW$345,38,FALSE)</f>
        <v>16</v>
      </c>
      <c r="R52" s="77">
        <f>VLOOKUP($F52,INACTIVITY!$A$6:$BW$345,42,FALSE)</f>
        <v>13.8</v>
      </c>
      <c r="S52" s="77">
        <f>VLOOKUP($F52,INACTIVITY!$A$6:$BW$345,46,FALSE)</f>
        <v>18.3</v>
      </c>
      <c r="T52" s="77">
        <f>VLOOKUP($F52,INACTIVITY!$A$6:$BW$345,50,FALSE)</f>
        <v>19.7</v>
      </c>
      <c r="U52" s="77">
        <f>VLOOKUP($F52,INACTIVITY!$A$6:$BW$345,54,FALSE)</f>
        <v>19.2</v>
      </c>
      <c r="V52" s="77">
        <f>VLOOKUP($F52,INACTIVITY!$A$6:$BW$345,58,FALSE)</f>
        <v>18</v>
      </c>
      <c r="W52" s="77">
        <f>VLOOKUP($F52,INACTIVITY!$A$6:$BW$345,62,FALSE)</f>
        <v>22.8</v>
      </c>
      <c r="X52" s="77">
        <f>VLOOKUP($F52,INACTIVITY!$A$6:$BW$345,66,FALSE)</f>
        <v>15.8</v>
      </c>
      <c r="Y52" s="77">
        <f>VLOOKUP($F52,INACTIVITY!$A$6:$BW$345,70,FALSE)</f>
        <v>23.8</v>
      </c>
      <c r="Z52" s="77">
        <f>VLOOKUP($F52,INACTIVITY!$A$6:$BW$345,74,FALSE)</f>
        <v>16.7</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Uttlesford to Rural as a Region</v>
      </c>
      <c r="G55" s="102"/>
      <c r="H55" s="103"/>
      <c r="I55" s="74">
        <f>(I52-I53)</f>
        <v>-1.195644571610238</v>
      </c>
      <c r="J55" s="74">
        <f t="shared" ref="J55:Z55" si="10">(J52-J53)</f>
        <v>-4.7085227272727259</v>
      </c>
      <c r="K55" s="74">
        <f t="shared" si="10"/>
        <v>-3.5624653934587762</v>
      </c>
      <c r="L55" s="74">
        <f t="shared" si="10"/>
        <v>-4.61406533153664</v>
      </c>
      <c r="M55" s="74">
        <f t="shared" si="10"/>
        <v>-2.9350023108920062</v>
      </c>
      <c r="N55" s="74">
        <f t="shared" si="10"/>
        <v>-3.333143757920439</v>
      </c>
      <c r="O55" s="74">
        <f t="shared" si="10"/>
        <v>-1.5919371275051724</v>
      </c>
      <c r="P55" s="74">
        <f t="shared" si="10"/>
        <v>-3.2942457807534495</v>
      </c>
      <c r="Q55" s="74">
        <f t="shared" si="10"/>
        <v>-5.1825487944890938</v>
      </c>
      <c r="R55" s="74">
        <f t="shared" si="10"/>
        <v>-6.9745930974387704</v>
      </c>
      <c r="S55" s="74">
        <f t="shared" si="10"/>
        <v>-1.9732104559723993</v>
      </c>
      <c r="T55" s="74">
        <f t="shared" si="10"/>
        <v>3.8053165930413968E-3</v>
      </c>
      <c r="U55" s="74">
        <f t="shared" si="10"/>
        <v>-0.65242934706947153</v>
      </c>
      <c r="V55" s="74">
        <f t="shared" si="10"/>
        <v>-1.2532773342803765</v>
      </c>
      <c r="W55" s="74">
        <f t="shared" si="10"/>
        <v>3.6230439908171519</v>
      </c>
      <c r="X55" s="74">
        <f t="shared" si="10"/>
        <v>-3.0520649493649294</v>
      </c>
      <c r="Y55" s="74">
        <f t="shared" si="10"/>
        <v>4.0274172781285387</v>
      </c>
      <c r="Z55" s="74">
        <f t="shared" si="10"/>
        <v>-4.3851797756300712</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Uttlesford</v>
      </c>
      <c r="G60" s="88"/>
      <c r="H60" s="89"/>
      <c r="I60" s="76">
        <f>VLOOKUP($F60,DISABILITY!$A$718:$I$1052,DISABILITY!B$1053,FALSE)</f>
        <v>26.200000000000003</v>
      </c>
      <c r="J60" s="77">
        <f>VLOOKUP($F60,DISABILITY!$A$718:$I$1052,DISABILITY!C$1053,FALSE)</f>
        <v>16.899999999999999</v>
      </c>
      <c r="K60" s="77">
        <f>VLOOKUP($F60,DISABILITY!$A$718:$I$1052,DISABILITY!D$1053,FALSE)</f>
        <v>32.099999999999994</v>
      </c>
      <c r="L60" s="77">
        <f>VLOOKUP($F60,DISABILITY!$A$718:$I$1052,DISABILITY!E$1053,FALSE)</f>
        <v>22.600000000000009</v>
      </c>
      <c r="M60" s="77">
        <f>VLOOKUP($F60,DISABILITY!$A$718:$I$1052,DISABILITY!F$1053,FALSE)</f>
        <v>14.799999999999997</v>
      </c>
      <c r="N60" s="77">
        <f>VLOOKUP($F60,DISABILITY!$A$718:$I$1052,DISABILITY!G$1053,FALSE)</f>
        <v>14.200000000000003</v>
      </c>
      <c r="O60" s="77">
        <f>VLOOKUP($F60,DISABILITY!$A$718:$I$1052,DISABILITY!H$1053,FALSE)</f>
        <v>14.799999999999997</v>
      </c>
      <c r="P60" s="77">
        <f>VLOOKUP($F60,DISABILITY!$A$718:$I$1052,DISABILITY!I$1053,FALSE)</f>
        <v>8.6000000000000085</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Uttlesford to Rural as a Region</v>
      </c>
      <c r="G63" s="102"/>
      <c r="H63" s="103"/>
      <c r="I63" s="74">
        <f>(I60-I61)</f>
        <v>-1.2201565406472454</v>
      </c>
      <c r="J63" s="74">
        <f t="shared" ref="J63:P63" si="12">(J60-J61)</f>
        <v>-10.419044407051189</v>
      </c>
      <c r="K63" s="74">
        <f t="shared" si="12"/>
        <v>3.9808716385017888</v>
      </c>
      <c r="L63" s="74">
        <f t="shared" si="12"/>
        <v>-3.3909345389966674</v>
      </c>
      <c r="M63" s="74">
        <f t="shared" si="12"/>
        <v>-10.675225818666121</v>
      </c>
      <c r="N63" s="74">
        <f t="shared" si="12"/>
        <v>-11.33124768544198</v>
      </c>
      <c r="O63" s="74">
        <f t="shared" si="12"/>
        <v>-8.9972222879969479</v>
      </c>
      <c r="P63" s="74">
        <f t="shared" si="12"/>
        <v>-16.754177930342166</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Uttlesford</v>
      </c>
      <c r="G68" s="88"/>
      <c r="H68" s="89"/>
      <c r="I68" s="76">
        <f>VLOOKUP($F68,'WORKLESS HOUSEHOLDS'!$DW$4:$EC$397,7,FALSE)</f>
        <v>6.4405414604064655</v>
      </c>
      <c r="J68" s="77">
        <f>VLOOKUP($F68,'WORKLESS HOUSEHOLDS'!$DN$4:$DT$397,7,FALSE)</f>
        <v>7.7385097854606126</v>
      </c>
      <c r="K68" s="77" t="str">
        <f>VLOOKUP($F68,'WORKLESS HOUSEHOLDS'!$DE$4:$DK$397,7,FALSE)</f>
        <v>*</v>
      </c>
      <c r="L68" s="77">
        <f>VLOOKUP($F68,'WORKLESS HOUSEHOLDS'!$CV$4:$DB$397,7,FALSE)</f>
        <v>8.9632116532073134</v>
      </c>
      <c r="M68" s="77" t="str">
        <f>VLOOKUP($F68,'WORKLESS HOUSEHOLDS'!$CM$4:$CS$397,7,FALSE)</f>
        <v>*</v>
      </c>
      <c r="N68" s="77">
        <f>VLOOKUP($F68,'WORKLESS HOUSEHOLDS'!$CD$4:$CJ$397,7,FALSE)</f>
        <v>12.45911172494003</v>
      </c>
      <c r="O68" s="77" t="str">
        <f>VLOOKUP($F68,'WORKLESS HOUSEHOLDS'!$BU$4:$CA$397,7,FALSE)</f>
        <v>#</v>
      </c>
      <c r="P68" s="77">
        <f>VLOOKUP($F68,'WORKLESS HOUSEHOLDS'!$BL$4:$BR$397,7,FALSE)</f>
        <v>2.2479517909133997</v>
      </c>
      <c r="Q68" s="77" t="str">
        <f>VLOOKUP($F68,'WORKLESS HOUSEHOLDS'!$BC$4:$BI$397,7,FALSE)</f>
        <v>#</v>
      </c>
      <c r="R68" s="77" t="str">
        <f>VLOOKUP($F68,'WORKLESS HOUSEHOLDS'!$AT$4:$AZ$397,7,FALSE)</f>
        <v>#</v>
      </c>
      <c r="S68" s="77" t="str">
        <f>VLOOKUP($F68,'WORKLESS HOUSEHOLDS'!$AK$4:$AQ$397,7,FALSE)</f>
        <v>#</v>
      </c>
      <c r="T68" s="77" t="str">
        <f>VLOOKUP($F68,'WORKLESS HOUSEHOLDS'!$AB$4:$AH$397,7,FALSE)</f>
        <v>#</v>
      </c>
      <c r="U68" s="77">
        <f>VLOOKUP($F68,'WORKLESS HOUSEHOLDS'!$S$4:$Y$397,7,FALSE)</f>
        <v>10.135086841540991</v>
      </c>
      <c r="V68" s="77" t="str">
        <f>VLOOKUP($F68,'WORKLESS HOUSEHOLDS'!$J$4:$P$397,7,FALSE)</f>
        <v>#</v>
      </c>
      <c r="W68" s="77" t="str">
        <f>VLOOKUP($F68,'WORKLESS HOUSEHOLDS'!$B$4:$H$397,7,FALSE)</f>
        <v>n/a</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Uttlesford to Rural as a Region</v>
      </c>
      <c r="G71" s="102"/>
      <c r="H71" s="103"/>
      <c r="I71" s="74">
        <f>(I68-I69)</f>
        <v>-3.5714044021802254</v>
      </c>
      <c r="J71" s="74">
        <f t="shared" ref="J71:W71" si="14">(J68-J69)</f>
        <v>-3.1726450520144116</v>
      </c>
      <c r="K71" s="74" t="e">
        <f t="shared" si="14"/>
        <v>#VALUE!</v>
      </c>
      <c r="L71" s="74">
        <f t="shared" si="14"/>
        <v>-2.0027950081224191</v>
      </c>
      <c r="M71" s="74" t="e">
        <f t="shared" si="14"/>
        <v>#VALUE!</v>
      </c>
      <c r="N71" s="74">
        <f t="shared" si="14"/>
        <v>0.55801204568464868</v>
      </c>
      <c r="O71" s="74" t="e">
        <f t="shared" si="14"/>
        <v>#VALUE!</v>
      </c>
      <c r="P71" s="74">
        <f t="shared" si="14"/>
        <v>-7.4435460948544385</v>
      </c>
      <c r="Q71" s="74" t="e">
        <f t="shared" si="14"/>
        <v>#VALUE!</v>
      </c>
      <c r="R71" s="74" t="e">
        <f t="shared" si="14"/>
        <v>#VALUE!</v>
      </c>
      <c r="S71" s="74" t="e">
        <f t="shared" si="14"/>
        <v>#VALUE!</v>
      </c>
      <c r="T71" s="74" t="e">
        <f t="shared" si="14"/>
        <v>#VALUE!</v>
      </c>
      <c r="U71" s="74">
        <f t="shared" si="14"/>
        <v>-0.6269633231384848</v>
      </c>
      <c r="V71" s="74" t="e">
        <f t="shared" si="14"/>
        <v>#VALUE!</v>
      </c>
      <c r="W71" s="74" t="e">
        <f t="shared" si="14"/>
        <v>#VALUE!</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Uttlesford</v>
      </c>
      <c r="G76" s="88"/>
      <c r="H76" s="89"/>
      <c r="I76" s="76">
        <f>VLOOKUP($F76,'SKILLED EMPLOYMENT'!$A$1506:$BW$1841,6,FALSE)</f>
        <v>61.400000000000006</v>
      </c>
      <c r="J76" s="77">
        <f>VLOOKUP($F76,'SKILLED EMPLOYMENT'!$A$1506:$BW$1841,10,FALSE)</f>
        <v>60.300000000000004</v>
      </c>
      <c r="K76" s="77">
        <f>VLOOKUP($F76,'SKILLED EMPLOYMENT'!$A$1506:$BW$1841,14,FALSE)</f>
        <v>57.300000000000004</v>
      </c>
      <c r="L76" s="77">
        <f>VLOOKUP($F76,'SKILLED EMPLOYMENT'!$A$1506:$BW$1841,18,FALSE)</f>
        <v>54.600000000000009</v>
      </c>
      <c r="M76" s="77">
        <f>VLOOKUP($F76,'SKILLED EMPLOYMENT'!$A$1506:$BW$1841,22,FALSE)</f>
        <v>61.3</v>
      </c>
      <c r="N76" s="77">
        <f>VLOOKUP($F76,'SKILLED EMPLOYMENT'!$A$1506:$BW$1841,26,FALSE)</f>
        <v>63.800000000000004</v>
      </c>
      <c r="O76" s="77">
        <f>VLOOKUP($F76,'SKILLED EMPLOYMENT'!$A$1506:$BW$1841,30,FALSE)</f>
        <v>59.699999999999996</v>
      </c>
      <c r="P76" s="77">
        <f>VLOOKUP($F76,'SKILLED EMPLOYMENT'!$A$1506:$BW$1841,34,FALSE)</f>
        <v>63.900000000000006</v>
      </c>
      <c r="Q76" s="77">
        <f>VLOOKUP($F76,'SKILLED EMPLOYMENT'!$A$1506:$BW$1841,38,FALSE)</f>
        <v>59.5</v>
      </c>
      <c r="R76" s="77">
        <f>VLOOKUP($F76,'SKILLED EMPLOYMENT'!$A$1506:$BW$1841,42,FALSE)</f>
        <v>63.9</v>
      </c>
      <c r="S76" s="77">
        <f>VLOOKUP($F76,'SKILLED EMPLOYMENT'!$A$1506:$BW$1841,46,FALSE)</f>
        <v>56.7</v>
      </c>
      <c r="T76" s="77">
        <f>VLOOKUP($F76,'SKILLED EMPLOYMENT'!$A$1506:$BW$1841,50,FALSE)</f>
        <v>53.7</v>
      </c>
      <c r="U76" s="77">
        <f>VLOOKUP($F76,'SKILLED EMPLOYMENT'!$A$1506:$BW$1841,54,FALSE)</f>
        <v>68.599999999999994</v>
      </c>
      <c r="V76" s="77">
        <f>VLOOKUP($F76,'SKILLED EMPLOYMENT'!$A$1506:$BW$1841,58,FALSE)</f>
        <v>66.2</v>
      </c>
      <c r="W76" s="77">
        <f>VLOOKUP($F76,'SKILLED EMPLOYMENT'!$A$1506:$BW$1841,62,FALSE)</f>
        <v>58</v>
      </c>
      <c r="X76" s="77">
        <f>VLOOKUP($F76,'SKILLED EMPLOYMENT'!$A$1506:$BW$1841,66,FALSE)</f>
        <v>68.5</v>
      </c>
      <c r="Y76" s="77">
        <f>VLOOKUP($F76,'SKILLED EMPLOYMENT'!$A$1506:$BW$1841,70,FALSE)</f>
        <v>73.7</v>
      </c>
      <c r="Z76" s="77">
        <f>VLOOKUP($F76,'SKILLED EMPLOYMENT'!$A$1506:$BW$1841,74,FALSE)</f>
        <v>69.3</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Uttlesford to Rural as a Region</v>
      </c>
      <c r="G79" s="102"/>
      <c r="H79" s="103"/>
      <c r="I79" s="74">
        <f>(I76-I77)</f>
        <v>8.7000000000000028</v>
      </c>
      <c r="J79" s="74">
        <f t="shared" ref="J79:Z79" si="17">(J76-J77)</f>
        <v>7.4000000000000057</v>
      </c>
      <c r="K79" s="74">
        <f t="shared" si="17"/>
        <v>3.8000000000000043</v>
      </c>
      <c r="L79" s="74">
        <f t="shared" si="17"/>
        <v>0.60000000000000853</v>
      </c>
      <c r="M79" s="74">
        <f t="shared" si="17"/>
        <v>7.1999999999999957</v>
      </c>
      <c r="N79" s="74">
        <f t="shared" si="17"/>
        <v>9.4000000000000057</v>
      </c>
      <c r="O79" s="74">
        <f t="shared" si="17"/>
        <v>4.2999999999999972</v>
      </c>
      <c r="P79" s="74">
        <f t="shared" si="17"/>
        <v>8.3000000000000043</v>
      </c>
      <c r="Q79" s="74">
        <f t="shared" si="17"/>
        <v>4.1000000000000014</v>
      </c>
      <c r="R79" s="74">
        <f t="shared" si="17"/>
        <v>7.6999999999999957</v>
      </c>
      <c r="S79" s="74">
        <f t="shared" si="17"/>
        <v>0.5</v>
      </c>
      <c r="T79" s="74">
        <f t="shared" si="17"/>
        <v>-3.0999999999999943</v>
      </c>
      <c r="U79" s="74">
        <f t="shared" si="17"/>
        <v>11.999999999999993</v>
      </c>
      <c r="V79" s="74">
        <f t="shared" si="17"/>
        <v>9.1000000000000014</v>
      </c>
      <c r="W79" s="74">
        <f t="shared" si="17"/>
        <v>0.20000000000000284</v>
      </c>
      <c r="X79" s="74">
        <f t="shared" si="17"/>
        <v>9.7000000000000028</v>
      </c>
      <c r="Y79" s="74">
        <f t="shared" si="17"/>
        <v>15</v>
      </c>
      <c r="Z79" s="74">
        <f t="shared" si="17"/>
        <v>10.899999999999999</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0NaqCBrgU65yK/QmSx0DjUFtfFlmgkDt7dox90jPOmgceh3wKyTEy4q3kIXIls/zNrLLMjjxcGGestgz2hz46g==" saltValue="9qCjqol4swjBhBpZXihzuA=="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2022-08-02T13:26:24Z</dcterms:modified>
</cp:coreProperties>
</file>